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0" windowWidth="18825" windowHeight="10665"/>
  </bookViews>
  <sheets>
    <sheet name="WA GRC - Final NPC Alloc." sheetId="1" r:id="rId1"/>
    <sheet name="PrePost" sheetId="3" r:id="rId2"/>
    <sheet name="GRID - NPC" sheetId="2" r:id="rId3"/>
  </sheets>
  <externalReferences>
    <externalReference r:id="rId4"/>
    <externalReference r:id="rId5"/>
    <externalReference r:id="rId6"/>
  </externalReferences>
  <definedNames>
    <definedName name="_xlnm._FilterDatabase" localSheetId="2" hidden="1">'GRID - NPC'!$A$3:$S$1136</definedName>
    <definedName name="_Order1" hidden="1">255</definedName>
    <definedName name="_Order2" hidden="1">0</definedName>
    <definedName name="AverageFuelCost">'GRID - NPC'!$E$700:$Q$726</definedName>
    <definedName name="Burn">'GRID - NPC'!$E$672:$Q$698</definedName>
    <definedName name="ContractTypeDol">#REF!</definedName>
    <definedName name="ContractTypeMWh">#REF!</definedName>
    <definedName name="Cost">'GRID - NPC'!$E$1:$Q$313</definedName>
    <definedName name="DataCheck_Base">#REF!</definedName>
    <definedName name="DataCheck_Delta">#REF!</definedName>
    <definedName name="DataCheck_NPC">'GRID - NPC'!$AG$9:$AG$1116</definedName>
    <definedName name="DispatchSum">"GRID Thermal Generation!R2C1:R4C2"</definedName>
    <definedName name="ECDQF_Exp">'GRID - NPC'!$E$1123:$Q$1128</definedName>
    <definedName name="ECDQF_MWh">'GRID - NPC'!$E$1131:$Q$1136</definedName>
    <definedName name="Factor">'GRID - NPC'!$E$759:$Q$801</definedName>
    <definedName name="Hide_Rows">#REF!</definedName>
    <definedName name="Hide_Rows_Recon">#REF!</definedName>
    <definedName name="MidC">[1]lookup!$C$108:$D$117</definedName>
    <definedName name="Mill">'GRID - NPC'!$E$874:$Q$1098</definedName>
    <definedName name="MMBtu">'GRID - NPC'!$E$643:$Q$670</definedName>
    <definedName name="Months">'GRID - NPC'!$F$3:$Q$3</definedName>
    <definedName name="MWh">'GRID - NPC'!$E$317:$Q$639</definedName>
    <definedName name="NameAverageFuelCost">'GRID - NPC'!$C$700:$C$726</definedName>
    <definedName name="NameBurn">'GRID - NPC'!$C$672:$C$697</definedName>
    <definedName name="NameCost">'GRID - NPC'!$C$1:$C$313</definedName>
    <definedName name="NameECDQF_Exp">'GRID - NPC'!$C$1123:$C$1128</definedName>
    <definedName name="NameECDQF_MWh">'GRID - NPC'!$C$1131:$C$1136</definedName>
    <definedName name="NameFactor">'GRID - NPC'!$C$759:$C$801</definedName>
    <definedName name="NameMill">'GRID - NPC'!$C$874:$C$1116</definedName>
    <definedName name="NameMMBtu">'GRID - NPC'!$C$643:$C$670</definedName>
    <definedName name="NameMWh">'GRID - NPC'!$C$317:$C$639</definedName>
    <definedName name="NamePeak">'GRID - NPC'!$C$728:$C$757</definedName>
    <definedName name="Peak">'GRID - NPC'!$E$728:$Q$757</definedName>
    <definedName name="_xlnm.Print_Area" localSheetId="2">'GRID - NPC'!$A$1:$Q$1261</definedName>
    <definedName name="_xlnm.Print_Area" localSheetId="1">PrePost!$A$1:$I$123</definedName>
    <definedName name="_xlnm.Print_Titles" localSheetId="2">'GRID - NPC'!$A:$D,'GRID - NPC'!$1:$4</definedName>
    <definedName name="_xlnm.Print_Titles" localSheetId="1">PrePost!$A:$C,PrePost!$1:$6</definedName>
    <definedName name="PSATable">[2]Hermiston!$A$32:$E$57</definedName>
    <definedName name="Purchases">[1]lookup!$C$23:$D$68</definedName>
    <definedName name="QFs">[1]lookup!$C$69:$D$106</definedName>
    <definedName name="RevenueSum">"GRID Thermal Revenue!R2C1:R4C2"</definedName>
    <definedName name="Sales">[1]lookup!$C$3:$D$20</definedName>
    <definedName name="StartMWh">'GRID - NPC'!$A$316</definedName>
    <definedName name="StartTheMill">'GRID - NPC'!$A$874</definedName>
    <definedName name="StartTheRack">'GRID - NPC'!$A$640</definedName>
    <definedName name="Storage">[1]lookup!$C$119:$D$136</definedName>
    <definedName name="Version">#REF!</definedName>
  </definedNames>
  <calcPr calcId="145621" iterate="1"/>
</workbook>
</file>

<file path=xl/calcChain.xml><?xml version="1.0" encoding="utf-8"?>
<calcChain xmlns="http://schemas.openxmlformats.org/spreadsheetml/2006/main">
  <c r="G46" i="1" l="1"/>
  <c r="G43" i="1"/>
  <c r="G25" i="1" l="1"/>
  <c r="G26" i="1"/>
  <c r="G39" i="1" s="1"/>
  <c r="G37" i="1"/>
  <c r="G32" i="1"/>
  <c r="G18" i="1"/>
  <c r="G36" i="1"/>
  <c r="F36" i="1"/>
  <c r="F35" i="1"/>
  <c r="F37" i="1" s="1"/>
  <c r="F30" i="1"/>
  <c r="F29" i="1"/>
  <c r="G29" i="1" s="1"/>
  <c r="F25" i="1"/>
  <c r="F24" i="1"/>
  <c r="F23" i="1"/>
  <c r="F22" i="1"/>
  <c r="F21" i="1"/>
  <c r="G21" i="1" s="1"/>
  <c r="G31" i="1"/>
  <c r="G24" i="1"/>
  <c r="G23" i="1"/>
  <c r="G22" i="1"/>
  <c r="F16" i="1"/>
  <c r="G16" i="1" s="1"/>
  <c r="F18" i="1" l="1"/>
  <c r="F32" i="1"/>
  <c r="G30" i="1"/>
  <c r="G35" i="1"/>
  <c r="F26" i="1"/>
  <c r="F39" i="1" l="1"/>
  <c r="P18" i="3" l="1"/>
  <c r="I10" i="3"/>
  <c r="I16" i="3" s="1"/>
  <c r="F12" i="3"/>
  <c r="H14" i="3"/>
  <c r="G16" i="3"/>
  <c r="H16" i="3"/>
  <c r="F23" i="3"/>
  <c r="L24" i="3"/>
  <c r="O20" i="3"/>
  <c r="G25" i="3"/>
  <c r="H27" i="3"/>
  <c r="G30" i="3"/>
  <c r="L31" i="3"/>
  <c r="F32" i="3"/>
  <c r="G33" i="3"/>
  <c r="H36" i="3"/>
  <c r="D72" i="3"/>
  <c r="I38" i="3"/>
  <c r="I39" i="3"/>
  <c r="I42" i="3"/>
  <c r="I43" i="3"/>
  <c r="I44" i="3"/>
  <c r="I46" i="3"/>
  <c r="I48" i="3"/>
  <c r="I49" i="3"/>
  <c r="I50" i="3"/>
  <c r="I51" i="3"/>
  <c r="I52" i="3"/>
  <c r="I54" i="3"/>
  <c r="I55" i="3"/>
  <c r="I58" i="3"/>
  <c r="I59" i="3"/>
  <c r="I60" i="3"/>
  <c r="I62" i="3"/>
  <c r="I64" i="3"/>
  <c r="I65" i="3"/>
  <c r="I68" i="3"/>
  <c r="I70" i="3"/>
  <c r="F72" i="3"/>
  <c r="G72" i="3"/>
  <c r="H72" i="3"/>
  <c r="I73" i="3"/>
  <c r="H74" i="3"/>
  <c r="F81" i="3"/>
  <c r="F90" i="3" s="1"/>
  <c r="F83" i="3"/>
  <c r="D83" i="3" s="1"/>
  <c r="H87" i="3"/>
  <c r="H90" i="3" s="1"/>
  <c r="G90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3" i="3"/>
  <c r="F115" i="3"/>
  <c r="G115" i="3"/>
  <c r="I115" i="3"/>
  <c r="H118" i="3"/>
  <c r="H120" i="3" s="1"/>
  <c r="F120" i="3"/>
  <c r="G120" i="3"/>
  <c r="I120" i="3"/>
  <c r="H76" i="3" l="1"/>
  <c r="I61" i="3"/>
  <c r="I45" i="3"/>
  <c r="I72" i="3" s="1"/>
  <c r="I57" i="3"/>
  <c r="I41" i="3"/>
  <c r="G23" i="3"/>
  <c r="O21" i="3"/>
  <c r="O22" i="3" s="1"/>
  <c r="O84" i="3"/>
  <c r="I63" i="3"/>
  <c r="I56" i="3"/>
  <c r="I53" i="3"/>
  <c r="I47" i="3"/>
  <c r="I40" i="3"/>
  <c r="G29" i="3"/>
  <c r="F8" i="3"/>
  <c r="F16" i="3" s="1"/>
  <c r="D16" i="3"/>
  <c r="I31" i="3"/>
  <c r="I36" i="3" s="1"/>
  <c r="F22" i="3"/>
  <c r="G22" i="3"/>
  <c r="F20" i="3"/>
  <c r="H115" i="3"/>
  <c r="H122" i="3" s="1"/>
  <c r="I24" i="3"/>
  <c r="I27" i="3" s="1"/>
  <c r="N27" i="3"/>
  <c r="D24" i="3" s="1"/>
  <c r="D27" i="3" s="1"/>
  <c r="G31" i="3"/>
  <c r="F31" i="3"/>
  <c r="F36" i="3" s="1"/>
  <c r="N32" i="3"/>
  <c r="D31" i="3" s="1"/>
  <c r="D36" i="3" s="1"/>
  <c r="F24" i="3"/>
  <c r="G24" i="3"/>
  <c r="D85" i="3"/>
  <c r="I85" i="3" s="1"/>
  <c r="I90" i="3" s="1"/>
  <c r="D81" i="3"/>
  <c r="D115" i="3"/>
  <c r="S9" i="2"/>
  <c r="S10" i="2"/>
  <c r="S1" i="2" s="1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8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8" i="2"/>
  <c r="S49" i="2"/>
  <c r="S54" i="2"/>
  <c r="S55" i="2"/>
  <c r="S56" i="2"/>
  <c r="S57" i="2"/>
  <c r="S58" i="2"/>
  <c r="S59" i="2"/>
  <c r="S60" i="2"/>
  <c r="S61" i="2"/>
  <c r="S62" i="2"/>
  <c r="S71" i="2"/>
  <c r="S72" i="2"/>
  <c r="S73" i="2"/>
  <c r="S74" i="2"/>
  <c r="S75" i="2"/>
  <c r="S76" i="2"/>
  <c r="S80" i="2"/>
  <c r="S81" i="2"/>
  <c r="S82" i="2"/>
  <c r="S83" i="2"/>
  <c r="S84" i="2"/>
  <c r="S85" i="2"/>
  <c r="Y85" i="2"/>
  <c r="AA85" i="2"/>
  <c r="S86" i="2"/>
  <c r="S87" i="2"/>
  <c r="S88" i="2"/>
  <c r="S89" i="2"/>
  <c r="S90" i="2"/>
  <c r="S91" i="2"/>
  <c r="S92" i="2"/>
  <c r="S93" i="2"/>
  <c r="S94" i="2"/>
  <c r="S95" i="2"/>
  <c r="S97" i="2"/>
  <c r="S98" i="2"/>
  <c r="S99" i="2"/>
  <c r="S100" i="2"/>
  <c r="S101" i="2"/>
  <c r="S102" i="2"/>
  <c r="S103" i="2"/>
  <c r="S104" i="2"/>
  <c r="S105" i="2"/>
  <c r="S106" i="2"/>
  <c r="S107" i="2"/>
  <c r="Y107" i="2"/>
  <c r="S108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7" i="2"/>
  <c r="S168" i="2"/>
  <c r="S169" i="2"/>
  <c r="S170" i="2"/>
  <c r="S171" i="2"/>
  <c r="S172" i="2"/>
  <c r="S173" i="2"/>
  <c r="S174" i="2"/>
  <c r="S175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1" i="2"/>
  <c r="S206" i="2"/>
  <c r="S207" i="2"/>
  <c r="Z207" i="2"/>
  <c r="S208" i="2"/>
  <c r="Z208" i="2"/>
  <c r="Z538" i="2" s="1"/>
  <c r="S209" i="2"/>
  <c r="X209" i="2"/>
  <c r="Z209" i="2"/>
  <c r="Z539" i="2" s="1"/>
  <c r="AB209" i="2"/>
  <c r="AB539" i="2" s="1"/>
  <c r="AD209" i="2"/>
  <c r="S210" i="2"/>
  <c r="X210" i="2"/>
  <c r="X540" i="2" s="1"/>
  <c r="Z210" i="2"/>
  <c r="Z540" i="2" s="1"/>
  <c r="S211" i="2"/>
  <c r="Z211" i="2"/>
  <c r="S212" i="2"/>
  <c r="S213" i="2"/>
  <c r="S214" i="2"/>
  <c r="X214" i="2"/>
  <c r="Z214" i="2"/>
  <c r="Z544" i="2" s="1"/>
  <c r="S215" i="2"/>
  <c r="S216" i="2"/>
  <c r="X216" i="2"/>
  <c r="Z216" i="2"/>
  <c r="S217" i="2"/>
  <c r="X217" i="2"/>
  <c r="Z217" i="2"/>
  <c r="S218" i="2"/>
  <c r="X218" i="2"/>
  <c r="X548" i="2" s="1"/>
  <c r="Z218" i="2"/>
  <c r="S219" i="2"/>
  <c r="X219" i="2"/>
  <c r="Z219" i="2"/>
  <c r="S223" i="2"/>
  <c r="S228" i="2"/>
  <c r="X228" i="2"/>
  <c r="X557" i="2" s="1"/>
  <c r="S229" i="2"/>
  <c r="X229" i="2"/>
  <c r="S230" i="2"/>
  <c r="X230" i="2"/>
  <c r="X559" i="2" s="1"/>
  <c r="S231" i="2"/>
  <c r="S232" i="2"/>
  <c r="S233" i="2"/>
  <c r="S234" i="2"/>
  <c r="S235" i="2"/>
  <c r="S236" i="2"/>
  <c r="S250" i="2"/>
  <c r="S251" i="2"/>
  <c r="S252" i="2"/>
  <c r="S253" i="2"/>
  <c r="S254" i="2"/>
  <c r="S255" i="2"/>
  <c r="S256" i="2"/>
  <c r="S257" i="2"/>
  <c r="S258" i="2"/>
  <c r="S259" i="2"/>
  <c r="S262" i="2"/>
  <c r="S267" i="2"/>
  <c r="W267" i="2"/>
  <c r="S268" i="2"/>
  <c r="W268" i="2"/>
  <c r="S269" i="2"/>
  <c r="W269" i="2"/>
  <c r="S270" i="2"/>
  <c r="W270" i="2"/>
  <c r="S271" i="2"/>
  <c r="W271" i="2"/>
  <c r="Y271" i="2"/>
  <c r="S272" i="2"/>
  <c r="W272" i="2"/>
  <c r="S273" i="2"/>
  <c r="X273" i="2"/>
  <c r="W273" i="2" s="1"/>
  <c r="S274" i="2"/>
  <c r="W274" i="2"/>
  <c r="S275" i="2"/>
  <c r="W275" i="2"/>
  <c r="X275" i="2"/>
  <c r="S276" i="2"/>
  <c r="W276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V320" i="2"/>
  <c r="X320" i="2"/>
  <c r="Z320" i="2"/>
  <c r="V321" i="2"/>
  <c r="X321" i="2"/>
  <c r="Z321" i="2"/>
  <c r="AB321" i="2"/>
  <c r="V322" i="2"/>
  <c r="V323" i="2"/>
  <c r="X323" i="2"/>
  <c r="Z323" i="2"/>
  <c r="AB323" i="2"/>
  <c r="S337" i="2"/>
  <c r="V337" i="2"/>
  <c r="X337" i="2"/>
  <c r="S338" i="2"/>
  <c r="V338" i="2"/>
  <c r="S339" i="2"/>
  <c r="V339" i="2"/>
  <c r="S340" i="2"/>
  <c r="V340" i="2"/>
  <c r="S341" i="2"/>
  <c r="V341" i="2"/>
  <c r="S342" i="2"/>
  <c r="V342" i="2"/>
  <c r="S343" i="2"/>
  <c r="V343" i="2"/>
  <c r="S344" i="2"/>
  <c r="V344" i="2"/>
  <c r="S345" i="2"/>
  <c r="V345" i="2"/>
  <c r="X345" i="2"/>
  <c r="S346" i="2"/>
  <c r="V346" i="2"/>
  <c r="S347" i="2"/>
  <c r="N888" i="2" s="1"/>
  <c r="V347" i="2"/>
  <c r="S348" i="2"/>
  <c r="V348" i="2"/>
  <c r="S349" i="2"/>
  <c r="I890" i="2" s="1"/>
  <c r="V349" i="2"/>
  <c r="S350" i="2"/>
  <c r="V350" i="2"/>
  <c r="X350" i="2"/>
  <c r="Z350" i="2"/>
  <c r="AB350" i="2"/>
  <c r="S351" i="2"/>
  <c r="V351" i="2"/>
  <c r="S352" i="2"/>
  <c r="V352" i="2"/>
  <c r="S356" i="2"/>
  <c r="V356" i="2"/>
  <c r="S361" i="2"/>
  <c r="V361" i="2"/>
  <c r="S362" i="2"/>
  <c r="V362" i="2"/>
  <c r="Z362" i="2"/>
  <c r="S363" i="2"/>
  <c r="V363" i="2"/>
  <c r="Z363" i="2"/>
  <c r="S364" i="2"/>
  <c r="V364" i="2"/>
  <c r="X364" i="2"/>
  <c r="Z364" i="2"/>
  <c r="AB364" i="2"/>
  <c r="AD364" i="2"/>
  <c r="S365" i="2"/>
  <c r="V365" i="2"/>
  <c r="X365" i="2"/>
  <c r="Z365" i="2"/>
  <c r="S366" i="2"/>
  <c r="V366" i="2"/>
  <c r="Z366" i="2"/>
  <c r="S367" i="2"/>
  <c r="V367" i="2"/>
  <c r="S368" i="2"/>
  <c r="V368" i="2"/>
  <c r="S369" i="2"/>
  <c r="V369" i="2"/>
  <c r="X369" i="2"/>
  <c r="Z369" i="2"/>
  <c r="S370" i="2"/>
  <c r="V370" i="2"/>
  <c r="S371" i="2"/>
  <c r="V371" i="2"/>
  <c r="X371" i="2"/>
  <c r="Z371" i="2"/>
  <c r="AD371" i="2"/>
  <c r="S372" i="2"/>
  <c r="V372" i="2"/>
  <c r="X372" i="2"/>
  <c r="Z372" i="2"/>
  <c r="AD372" i="2"/>
  <c r="S373" i="2"/>
  <c r="V373" i="2"/>
  <c r="X373" i="2"/>
  <c r="Z373" i="2"/>
  <c r="AD373" i="2"/>
  <c r="S374" i="2"/>
  <c r="V374" i="2"/>
  <c r="X374" i="2"/>
  <c r="Z374" i="2"/>
  <c r="AD374" i="2"/>
  <c r="S376" i="2"/>
  <c r="V376" i="2"/>
  <c r="X376" i="2"/>
  <c r="S377" i="2"/>
  <c r="V377" i="2"/>
  <c r="X377" i="2"/>
  <c r="S382" i="2"/>
  <c r="V382" i="2"/>
  <c r="X382" i="2"/>
  <c r="Z382" i="2"/>
  <c r="S383" i="2"/>
  <c r="V383" i="2"/>
  <c r="X383" i="2"/>
  <c r="Z383" i="2"/>
  <c r="S384" i="2"/>
  <c r="V384" i="2"/>
  <c r="X384" i="2"/>
  <c r="S385" i="2"/>
  <c r="V385" i="2"/>
  <c r="S386" i="2"/>
  <c r="V386" i="2"/>
  <c r="Z386" i="2"/>
  <c r="S387" i="2"/>
  <c r="V387" i="2"/>
  <c r="S388" i="2"/>
  <c r="V388" i="2"/>
  <c r="S389" i="2"/>
  <c r="V389" i="2"/>
  <c r="S390" i="2"/>
  <c r="V394" i="2"/>
  <c r="V396" i="2"/>
  <c r="X396" i="2"/>
  <c r="Z396" i="2"/>
  <c r="AB396" i="2"/>
  <c r="AD396" i="2"/>
  <c r="S401" i="2"/>
  <c r="I939" i="2" s="1"/>
  <c r="V401" i="2"/>
  <c r="X401" i="2"/>
  <c r="S402" i="2"/>
  <c r="V402" i="2"/>
  <c r="S403" i="2"/>
  <c r="V403" i="2"/>
  <c r="S404" i="2"/>
  <c r="S405" i="2"/>
  <c r="M943" i="2" s="1"/>
  <c r="V405" i="2"/>
  <c r="S406" i="2"/>
  <c r="V406" i="2"/>
  <c r="S407" i="2"/>
  <c r="V407" i="2"/>
  <c r="S408" i="2"/>
  <c r="V408" i="2"/>
  <c r="S409" i="2"/>
  <c r="P947" i="2" s="1"/>
  <c r="V409" i="2"/>
  <c r="S410" i="2"/>
  <c r="V410" i="2"/>
  <c r="X410" i="2"/>
  <c r="S411" i="2"/>
  <c r="V411" i="2"/>
  <c r="S412" i="2"/>
  <c r="V412" i="2"/>
  <c r="X412" i="2"/>
  <c r="S413" i="2"/>
  <c r="V413" i="2"/>
  <c r="S414" i="2"/>
  <c r="V414" i="2"/>
  <c r="S415" i="2"/>
  <c r="S416" i="2"/>
  <c r="V416" i="2"/>
  <c r="S417" i="2"/>
  <c r="V417" i="2"/>
  <c r="X417" i="2"/>
  <c r="Z417" i="2"/>
  <c r="AB417" i="2"/>
  <c r="S418" i="2"/>
  <c r="V418" i="2"/>
  <c r="S419" i="2"/>
  <c r="V419" i="2"/>
  <c r="AB419" i="2"/>
  <c r="S420" i="2"/>
  <c r="V420" i="2"/>
  <c r="X420" i="2"/>
  <c r="Z420" i="2"/>
  <c r="AB420" i="2"/>
  <c r="AD420" i="2"/>
  <c r="S421" i="2"/>
  <c r="N959" i="2" s="1"/>
  <c r="V421" i="2"/>
  <c r="X421" i="2"/>
  <c r="S422" i="2"/>
  <c r="V422" i="2"/>
  <c r="S423" i="2"/>
  <c r="V423" i="2"/>
  <c r="S424" i="2"/>
  <c r="V424" i="2"/>
  <c r="X424" i="2"/>
  <c r="S425" i="2"/>
  <c r="V425" i="2"/>
  <c r="X425" i="2"/>
  <c r="S426" i="2"/>
  <c r="V426" i="2"/>
  <c r="X426" i="2"/>
  <c r="AB426" i="2"/>
  <c r="S427" i="2"/>
  <c r="V427" i="2"/>
  <c r="X427" i="2"/>
  <c r="S428" i="2"/>
  <c r="V428" i="2"/>
  <c r="Z428" i="2"/>
  <c r="AD428" i="2"/>
  <c r="S429" i="2"/>
  <c r="V429" i="2"/>
  <c r="S430" i="2"/>
  <c r="V430" i="2"/>
  <c r="X430" i="2"/>
  <c r="S431" i="2"/>
  <c r="V431" i="2"/>
  <c r="X431" i="2"/>
  <c r="S432" i="2"/>
  <c r="V432" i="2"/>
  <c r="S433" i="2"/>
  <c r="V433" i="2"/>
  <c r="S434" i="2"/>
  <c r="V434" i="2"/>
  <c r="S435" i="2"/>
  <c r="V435" i="2"/>
  <c r="X435" i="2"/>
  <c r="S436" i="2"/>
  <c r="V436" i="2"/>
  <c r="S437" i="2"/>
  <c r="V437" i="2"/>
  <c r="X437" i="2"/>
  <c r="S438" i="2"/>
  <c r="V438" i="2"/>
  <c r="S444" i="2"/>
  <c r="V444" i="2"/>
  <c r="S445" i="2"/>
  <c r="V445" i="2"/>
  <c r="S449" i="2"/>
  <c r="V449" i="2"/>
  <c r="S450" i="2"/>
  <c r="V450" i="2"/>
  <c r="S455" i="2"/>
  <c r="V455" i="2"/>
  <c r="X455" i="2"/>
  <c r="Z455" i="2"/>
  <c r="AB455" i="2"/>
  <c r="AD455" i="2"/>
  <c r="S456" i="2"/>
  <c r="V456" i="2"/>
  <c r="X456" i="2"/>
  <c r="Z456" i="2"/>
  <c r="AB456" i="2"/>
  <c r="AD456" i="2"/>
  <c r="S457" i="2"/>
  <c r="V457" i="2"/>
  <c r="X457" i="2"/>
  <c r="Z457" i="2"/>
  <c r="AB457" i="2"/>
  <c r="AD457" i="2"/>
  <c r="S458" i="2"/>
  <c r="V458" i="2"/>
  <c r="X458" i="2"/>
  <c r="Z458" i="2"/>
  <c r="AB458" i="2"/>
  <c r="AD458" i="2"/>
  <c r="S459" i="2"/>
  <c r="V459" i="2"/>
  <c r="X459" i="2"/>
  <c r="Z459" i="2"/>
  <c r="AB459" i="2"/>
  <c r="AD459" i="2"/>
  <c r="S460" i="2"/>
  <c r="V460" i="2"/>
  <c r="X460" i="2"/>
  <c r="Z460" i="2"/>
  <c r="AB460" i="2"/>
  <c r="AD460" i="2"/>
  <c r="S461" i="2"/>
  <c r="V461" i="2"/>
  <c r="X461" i="2"/>
  <c r="S462" i="2"/>
  <c r="V462" i="2"/>
  <c r="S463" i="2"/>
  <c r="V463" i="2"/>
  <c r="S464" i="2"/>
  <c r="M1002" i="2" s="1"/>
  <c r="V464" i="2"/>
  <c r="S465" i="2"/>
  <c r="V465" i="2"/>
  <c r="X465" i="2"/>
  <c r="S466" i="2"/>
  <c r="V466" i="2"/>
  <c r="S467" i="2"/>
  <c r="V467" i="2"/>
  <c r="X467" i="2"/>
  <c r="S468" i="2"/>
  <c r="V468" i="2"/>
  <c r="S469" i="2"/>
  <c r="V469" i="2"/>
  <c r="S470" i="2"/>
  <c r="V470" i="2"/>
  <c r="S471" i="2"/>
  <c r="V471" i="2"/>
  <c r="S472" i="2"/>
  <c r="V472" i="2"/>
  <c r="X472" i="2"/>
  <c r="S473" i="2"/>
  <c r="P1011" i="2" s="1"/>
  <c r="V473" i="2"/>
  <c r="S474" i="2"/>
  <c r="V474" i="2"/>
  <c r="S475" i="2"/>
  <c r="V475" i="2"/>
  <c r="S476" i="2"/>
  <c r="V476" i="2"/>
  <c r="S477" i="2"/>
  <c r="V477" i="2"/>
  <c r="S478" i="2"/>
  <c r="V478" i="2"/>
  <c r="S479" i="2"/>
  <c r="V479" i="2"/>
  <c r="S480" i="2"/>
  <c r="V480" i="2"/>
  <c r="S481" i="2"/>
  <c r="V481" i="2"/>
  <c r="S482" i="2"/>
  <c r="V482" i="2"/>
  <c r="S483" i="2"/>
  <c r="V483" i="2"/>
  <c r="S484" i="2"/>
  <c r="V484" i="2"/>
  <c r="S485" i="2"/>
  <c r="V485" i="2"/>
  <c r="S486" i="2"/>
  <c r="V486" i="2"/>
  <c r="S487" i="2"/>
  <c r="V487" i="2"/>
  <c r="S488" i="2"/>
  <c r="V488" i="2"/>
  <c r="X488" i="2"/>
  <c r="S489" i="2"/>
  <c r="V489" i="2"/>
  <c r="S490" i="2"/>
  <c r="V490" i="2"/>
  <c r="S491" i="2"/>
  <c r="V491" i="2"/>
  <c r="S492" i="2"/>
  <c r="V492" i="2"/>
  <c r="S497" i="2"/>
  <c r="V497" i="2"/>
  <c r="S498" i="2"/>
  <c r="I1036" i="2" s="1"/>
  <c r="V498" i="2"/>
  <c r="AD498" i="2" s="1"/>
  <c r="S499" i="2"/>
  <c r="V499" i="2"/>
  <c r="AD499" i="2"/>
  <c r="S500" i="2"/>
  <c r="V500" i="2"/>
  <c r="S501" i="2"/>
  <c r="V501" i="2"/>
  <c r="S502" i="2"/>
  <c r="V502" i="2"/>
  <c r="S503" i="2"/>
  <c r="S504" i="2"/>
  <c r="S505" i="2"/>
  <c r="S506" i="2"/>
  <c r="S513" i="2"/>
  <c r="V513" i="2"/>
  <c r="X513" i="2"/>
  <c r="S514" i="2"/>
  <c r="V514" i="2"/>
  <c r="X514" i="2"/>
  <c r="S515" i="2"/>
  <c r="V515" i="2"/>
  <c r="X515" i="2"/>
  <c r="S516" i="2"/>
  <c r="V516" i="2"/>
  <c r="X516" i="2"/>
  <c r="Z516" i="2"/>
  <c r="AB516" i="2"/>
  <c r="S517" i="2"/>
  <c r="V517" i="2"/>
  <c r="X517" i="2"/>
  <c r="S518" i="2"/>
  <c r="V518" i="2"/>
  <c r="X518" i="2"/>
  <c r="Z518" i="2"/>
  <c r="AB518" i="2"/>
  <c r="S519" i="2"/>
  <c r="V519" i="2"/>
  <c r="X519" i="2"/>
  <c r="S520" i="2"/>
  <c r="V520" i="2"/>
  <c r="X520" i="2"/>
  <c r="Z520" i="2"/>
  <c r="AB520" i="2"/>
  <c r="S521" i="2"/>
  <c r="V521" i="2"/>
  <c r="X521" i="2"/>
  <c r="Z521" i="2"/>
  <c r="AB521" i="2"/>
  <c r="S522" i="2"/>
  <c r="V522" i="2"/>
  <c r="S523" i="2"/>
  <c r="V523" i="2"/>
  <c r="X523" i="2"/>
  <c r="Z523" i="2"/>
  <c r="S524" i="2"/>
  <c r="V524" i="2"/>
  <c r="X524" i="2"/>
  <c r="S525" i="2"/>
  <c r="V525" i="2"/>
  <c r="X525" i="2"/>
  <c r="S526" i="2"/>
  <c r="V526" i="2"/>
  <c r="X526" i="2"/>
  <c r="S527" i="2"/>
  <c r="V527" i="2"/>
  <c r="X527" i="2"/>
  <c r="Z527" i="2"/>
  <c r="S528" i="2"/>
  <c r="V528" i="2"/>
  <c r="X528" i="2"/>
  <c r="S529" i="2"/>
  <c r="V529" i="2"/>
  <c r="X529" i="2"/>
  <c r="S531" i="2"/>
  <c r="V531" i="2"/>
  <c r="X531" i="2"/>
  <c r="S536" i="2"/>
  <c r="V536" i="2"/>
  <c r="S537" i="2"/>
  <c r="V537" i="2"/>
  <c r="Z537" i="2"/>
  <c r="S538" i="2"/>
  <c r="V538" i="2"/>
  <c r="S539" i="2"/>
  <c r="V539" i="2"/>
  <c r="X539" i="2"/>
  <c r="AD539" i="2"/>
  <c r="S540" i="2"/>
  <c r="V540" i="2"/>
  <c r="S541" i="2"/>
  <c r="V541" i="2"/>
  <c r="Z541" i="2"/>
  <c r="S542" i="2"/>
  <c r="V542" i="2"/>
  <c r="S543" i="2"/>
  <c r="V543" i="2"/>
  <c r="S544" i="2"/>
  <c r="V544" i="2"/>
  <c r="X544" i="2"/>
  <c r="S545" i="2"/>
  <c r="V545" i="2"/>
  <c r="S546" i="2"/>
  <c r="V546" i="2"/>
  <c r="X546" i="2"/>
  <c r="Z546" i="2"/>
  <c r="S547" i="2"/>
  <c r="V547" i="2"/>
  <c r="X547" i="2"/>
  <c r="Z547" i="2"/>
  <c r="S548" i="2"/>
  <c r="V548" i="2"/>
  <c r="Z548" i="2"/>
  <c r="S549" i="2"/>
  <c r="V549" i="2"/>
  <c r="X549" i="2"/>
  <c r="Z549" i="2"/>
  <c r="S552" i="2"/>
  <c r="V552" i="2"/>
  <c r="X552" i="2"/>
  <c r="S557" i="2"/>
  <c r="V557" i="2"/>
  <c r="Z557" i="2"/>
  <c r="S558" i="2"/>
  <c r="V558" i="2"/>
  <c r="X558" i="2"/>
  <c r="Z558" i="2"/>
  <c r="S559" i="2"/>
  <c r="V559" i="2"/>
  <c r="S560" i="2"/>
  <c r="V560" i="2"/>
  <c r="S561" i="2"/>
  <c r="V561" i="2"/>
  <c r="Z561" i="2"/>
  <c r="S562" i="2"/>
  <c r="V562" i="2"/>
  <c r="S563" i="2"/>
  <c r="V563" i="2"/>
  <c r="S564" i="2"/>
  <c r="V564" i="2"/>
  <c r="S565" i="2"/>
  <c r="S572" i="2"/>
  <c r="V572" i="2"/>
  <c r="S573" i="2"/>
  <c r="V573" i="2"/>
  <c r="S574" i="2"/>
  <c r="V574" i="2"/>
  <c r="S575" i="2"/>
  <c r="V575" i="2"/>
  <c r="S576" i="2"/>
  <c r="V576" i="2"/>
  <c r="S577" i="2"/>
  <c r="V577" i="2"/>
  <c r="S578" i="2"/>
  <c r="V578" i="2"/>
  <c r="S579" i="2"/>
  <c r="V579" i="2"/>
  <c r="S580" i="2"/>
  <c r="V580" i="2"/>
  <c r="S581" i="2"/>
  <c r="V581" i="2"/>
  <c r="S584" i="2"/>
  <c r="V584" i="2"/>
  <c r="S589" i="2"/>
  <c r="V589" i="2"/>
  <c r="S590" i="2"/>
  <c r="V590" i="2"/>
  <c r="S591" i="2"/>
  <c r="V591" i="2"/>
  <c r="S592" i="2"/>
  <c r="V592" i="2"/>
  <c r="S593" i="2"/>
  <c r="S594" i="2"/>
  <c r="V594" i="2"/>
  <c r="S595" i="2"/>
  <c r="V595" i="2"/>
  <c r="S596" i="2"/>
  <c r="V596" i="2"/>
  <c r="S597" i="2"/>
  <c r="V597" i="2"/>
  <c r="S598" i="2"/>
  <c r="V598" i="2"/>
  <c r="S609" i="2"/>
  <c r="V609" i="2"/>
  <c r="V610" i="2" s="1"/>
  <c r="AA610" i="2"/>
  <c r="AG610" i="2" s="1"/>
  <c r="AG729" i="2" s="1"/>
  <c r="S614" i="2"/>
  <c r="V614" i="2"/>
  <c r="S615" i="2"/>
  <c r="V615" i="2"/>
  <c r="S616" i="2"/>
  <c r="V616" i="2"/>
  <c r="S617" i="2"/>
  <c r="V617" i="2"/>
  <c r="S618" i="2"/>
  <c r="V618" i="2"/>
  <c r="S619" i="2"/>
  <c r="V619" i="2"/>
  <c r="S620" i="2"/>
  <c r="V620" i="2"/>
  <c r="S621" i="2"/>
  <c r="V621" i="2"/>
  <c r="S622" i="2"/>
  <c r="V622" i="2"/>
  <c r="S623" i="2"/>
  <c r="V623" i="2"/>
  <c r="S624" i="2"/>
  <c r="V624" i="2"/>
  <c r="S629" i="2"/>
  <c r="V629" i="2"/>
  <c r="S630" i="2"/>
  <c r="V630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61" i="2"/>
  <c r="V662" i="2"/>
  <c r="V663" i="2"/>
  <c r="V665" i="2"/>
  <c r="V666" i="2"/>
  <c r="V667" i="2"/>
  <c r="V668" i="2"/>
  <c r="V700" i="2"/>
  <c r="V701" i="2"/>
  <c r="V702" i="2"/>
  <c r="V703" i="2"/>
  <c r="V704" i="2"/>
  <c r="V705" i="2"/>
  <c r="V706" i="2"/>
  <c r="V707" i="2"/>
  <c r="V708" i="2"/>
  <c r="V709" i="2"/>
  <c r="V711" i="2"/>
  <c r="V713" i="2"/>
  <c r="V714" i="2"/>
  <c r="V716" i="2"/>
  <c r="V717" i="2"/>
  <c r="V718" i="2"/>
  <c r="V719" i="2"/>
  <c r="V720" i="2"/>
  <c r="V721" i="2"/>
  <c r="V722" i="2"/>
  <c r="V723" i="2"/>
  <c r="V724" i="2"/>
  <c r="V725" i="2"/>
  <c r="V728" i="2"/>
  <c r="V731" i="2"/>
  <c r="V732" i="2"/>
  <c r="V733" i="2"/>
  <c r="V734" i="2"/>
  <c r="V735" i="2"/>
  <c r="V736" i="2"/>
  <c r="V737" i="2"/>
  <c r="V738" i="2"/>
  <c r="V739" i="2"/>
  <c r="V740" i="2"/>
  <c r="V742" i="2"/>
  <c r="V744" i="2"/>
  <c r="V745" i="2"/>
  <c r="V747" i="2"/>
  <c r="V748" i="2"/>
  <c r="V749" i="2"/>
  <c r="V750" i="2"/>
  <c r="V751" i="2"/>
  <c r="V752" i="2"/>
  <c r="V753" i="2"/>
  <c r="V754" i="2"/>
  <c r="V755" i="2"/>
  <c r="V756" i="2"/>
  <c r="U788" i="2"/>
  <c r="U789" i="2"/>
  <c r="U790" i="2"/>
  <c r="W790" i="2"/>
  <c r="U791" i="2"/>
  <c r="W791" i="2"/>
  <c r="U792" i="2"/>
  <c r="W792" i="2"/>
  <c r="U793" i="2"/>
  <c r="W793" i="2"/>
  <c r="U794" i="2"/>
  <c r="W794" i="2"/>
  <c r="U795" i="2"/>
  <c r="W795" i="2"/>
  <c r="U796" i="2"/>
  <c r="U797" i="2"/>
  <c r="U798" i="2"/>
  <c r="W798" i="2"/>
  <c r="U799" i="2"/>
  <c r="W799" i="2"/>
  <c r="U800" i="2"/>
  <c r="W800" i="2"/>
  <c r="V821" i="2"/>
  <c r="V822" i="2"/>
  <c r="V823" i="2"/>
  <c r="V824" i="2"/>
  <c r="V861" i="2"/>
  <c r="V862" i="2"/>
  <c r="V865" i="2"/>
  <c r="V866" i="2"/>
  <c r="V867" i="2"/>
  <c r="V1147" i="2"/>
  <c r="V1148" i="2"/>
  <c r="V1149" i="2"/>
  <c r="V1150" i="2"/>
  <c r="V1151" i="2"/>
  <c r="V1152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AG269" i="2"/>
  <c r="Q890" i="2"/>
  <c r="M945" i="2"/>
  <c r="Q947" i="2"/>
  <c r="G1023" i="2"/>
  <c r="M1038" i="2"/>
  <c r="M1040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4" i="2"/>
  <c r="AG55" i="2"/>
  <c r="AG56" i="2"/>
  <c r="AG57" i="2"/>
  <c r="AG58" i="2"/>
  <c r="AG59" i="2"/>
  <c r="AG60" i="2"/>
  <c r="AG61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8" i="2"/>
  <c r="AG109" i="2"/>
  <c r="AG110" i="2"/>
  <c r="AG115" i="2"/>
  <c r="AG116" i="2"/>
  <c r="AG117" i="2"/>
  <c r="AG118" i="2"/>
  <c r="AG119" i="2"/>
  <c r="AG120" i="2"/>
  <c r="AG125" i="2"/>
  <c r="AG126" i="2"/>
  <c r="AG127" i="2"/>
  <c r="AG128" i="2"/>
  <c r="AG129" i="2"/>
  <c r="AG130" i="2"/>
  <c r="AG131" i="2"/>
  <c r="AG132" i="2"/>
  <c r="AG134" i="2"/>
  <c r="AG135" i="2"/>
  <c r="AG136" i="2"/>
  <c r="AG137" i="2"/>
  <c r="AG138" i="2"/>
  <c r="AG139" i="2"/>
  <c r="AG140" i="2"/>
  <c r="AG141" i="2"/>
  <c r="AG142" i="2"/>
  <c r="AG146" i="2"/>
  <c r="AG147" i="2"/>
  <c r="AG148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7" i="2"/>
  <c r="AG168" i="2"/>
  <c r="AG169" i="2"/>
  <c r="AG170" i="2"/>
  <c r="AG171" i="2"/>
  <c r="AG172" i="2"/>
  <c r="AG173" i="2"/>
  <c r="AG174" i="2"/>
  <c r="AG175" i="2"/>
  <c r="AG176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2" i="2"/>
  <c r="AG223" i="2"/>
  <c r="AG228" i="2"/>
  <c r="AG229" i="2"/>
  <c r="AG230" i="2"/>
  <c r="AG231" i="2"/>
  <c r="AG232" i="2"/>
  <c r="AG233" i="2"/>
  <c r="AG234" i="2"/>
  <c r="AG235" i="2"/>
  <c r="AG243" i="2"/>
  <c r="AG244" i="2"/>
  <c r="AG25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267" i="2"/>
  <c r="AG280" i="2"/>
  <c r="AG281" i="2"/>
  <c r="AG282" i="2"/>
  <c r="AG283" i="2"/>
  <c r="AG284" i="2"/>
  <c r="AG285" i="2"/>
  <c r="AG286" i="2"/>
  <c r="AG291" i="2"/>
  <c r="AG320" i="2"/>
  <c r="AG321" i="2"/>
  <c r="AG322" i="2"/>
  <c r="AG323" i="2"/>
  <c r="AG324" i="2"/>
  <c r="AG325" i="2"/>
  <c r="AG326" i="2"/>
  <c r="AG327" i="2"/>
  <c r="AG337" i="2"/>
  <c r="AG878" i="2" s="1"/>
  <c r="M879" i="2"/>
  <c r="AG338" i="2"/>
  <c r="AG879" i="2" s="1"/>
  <c r="AG339" i="2"/>
  <c r="AG880" i="2" s="1"/>
  <c r="AG340" i="2"/>
  <c r="AG881" i="2" s="1"/>
  <c r="AG341" i="2"/>
  <c r="AG882" i="2" s="1"/>
  <c r="AG342" i="2"/>
  <c r="AG883" i="2" s="1"/>
  <c r="AG343" i="2"/>
  <c r="AG884" i="2" s="1"/>
  <c r="AG344" i="2"/>
  <c r="AG885" i="2" s="1"/>
  <c r="AG345" i="2"/>
  <c r="AG886" i="2" s="1"/>
  <c r="AG346" i="2"/>
  <c r="AG887" i="2" s="1"/>
  <c r="AG347" i="2"/>
  <c r="AG888" i="2" s="1"/>
  <c r="AG348" i="2"/>
  <c r="AG889" i="2" s="1"/>
  <c r="AG349" i="2"/>
  <c r="AG890" i="2" s="1"/>
  <c r="AG350" i="2"/>
  <c r="AG351" i="2"/>
  <c r="AG892" i="2" s="1"/>
  <c r="AG352" i="2"/>
  <c r="AG893" i="2" s="1"/>
  <c r="AG353" i="2"/>
  <c r="AG894" i="2" s="1"/>
  <c r="AG354" i="2"/>
  <c r="AG355" i="2"/>
  <c r="AG896" i="2" s="1"/>
  <c r="AG356" i="2"/>
  <c r="AG897" i="2" s="1"/>
  <c r="AG361" i="2"/>
  <c r="AG902" i="2" s="1"/>
  <c r="AG362" i="2"/>
  <c r="AG903" i="2" s="1"/>
  <c r="AG363" i="2"/>
  <c r="AG904" i="2" s="1"/>
  <c r="AG364" i="2"/>
  <c r="AG905" i="2" s="1"/>
  <c r="AG365" i="2"/>
  <c r="AG906" i="2" s="1"/>
  <c r="AG366" i="2"/>
  <c r="AG907" i="2" s="1"/>
  <c r="AG367" i="2"/>
  <c r="AG908" i="2" s="1"/>
  <c r="AG368" i="2"/>
  <c r="AG909" i="2" s="1"/>
  <c r="AG369" i="2"/>
  <c r="AG910" i="2" s="1"/>
  <c r="AG370" i="2"/>
  <c r="AG371" i="2"/>
  <c r="AG912" i="2" s="1"/>
  <c r="AG372" i="2"/>
  <c r="AG913" i="2" s="1"/>
  <c r="AG373" i="2"/>
  <c r="AG914" i="2" s="1"/>
  <c r="AG374" i="2"/>
  <c r="AG375" i="2"/>
  <c r="AG916" i="2" s="1"/>
  <c r="AG376" i="2"/>
  <c r="AG917" i="2" s="1"/>
  <c r="AG377" i="2"/>
  <c r="AG918" i="2" s="1"/>
  <c r="AG382" i="2"/>
  <c r="AG923" i="2" s="1"/>
  <c r="AG383" i="2"/>
  <c r="AG924" i="2" s="1"/>
  <c r="AG384" i="2"/>
  <c r="AG925" i="2" s="1"/>
  <c r="AG385" i="2"/>
  <c r="AG926" i="2" s="1"/>
  <c r="AG386" i="2"/>
  <c r="AG927" i="2" s="1"/>
  <c r="AG387" i="2"/>
  <c r="AG928" i="2" s="1"/>
  <c r="AG388" i="2"/>
  <c r="AG929" i="2" s="1"/>
  <c r="AG389" i="2"/>
  <c r="AG930" i="2" s="1"/>
  <c r="AG401" i="2"/>
  <c r="AG939" i="2" s="1"/>
  <c r="AG402" i="2"/>
  <c r="AG940" i="2" s="1"/>
  <c r="AG403" i="2"/>
  <c r="AG941" i="2" s="1"/>
  <c r="N942" i="2"/>
  <c r="AG404" i="2"/>
  <c r="AG942" i="2" s="1"/>
  <c r="AG405" i="2"/>
  <c r="AG943" i="2" s="1"/>
  <c r="AG406" i="2"/>
  <c r="AG815" i="2" s="1"/>
  <c r="AG407" i="2"/>
  <c r="AG945" i="2" s="1"/>
  <c r="AG408" i="2"/>
  <c r="AG409" i="2"/>
  <c r="AG947" i="2" s="1"/>
  <c r="AG410" i="2"/>
  <c r="AG948" i="2" s="1"/>
  <c r="AG411" i="2"/>
  <c r="AG949" i="2" s="1"/>
  <c r="J950" i="2"/>
  <c r="AG412" i="2"/>
  <c r="AG950" i="2" s="1"/>
  <c r="AG413" i="2"/>
  <c r="AG951" i="2" s="1"/>
  <c r="AG414" i="2"/>
  <c r="AG952" i="2" s="1"/>
  <c r="AG416" i="2"/>
  <c r="AG954" i="2" s="1"/>
  <c r="AG417" i="2"/>
  <c r="AG955" i="2" s="1"/>
  <c r="P956" i="2"/>
  <c r="AG418" i="2"/>
  <c r="AG956" i="2" s="1"/>
  <c r="AG419" i="2"/>
  <c r="AG957" i="2" s="1"/>
  <c r="AF420" i="2"/>
  <c r="AG420" i="2"/>
  <c r="AG958" i="2" s="1"/>
  <c r="AG421" i="2"/>
  <c r="AG959" i="2" s="1"/>
  <c r="AG422" i="2"/>
  <c r="AG960" i="2" s="1"/>
  <c r="AG423" i="2"/>
  <c r="AG961" i="2" s="1"/>
  <c r="AG424" i="2"/>
  <c r="AG962" i="2" s="1"/>
  <c r="AG425" i="2"/>
  <c r="AG426" i="2"/>
  <c r="AG964" i="2" s="1"/>
  <c r="AG427" i="2"/>
  <c r="AG965" i="2" s="1"/>
  <c r="AG428" i="2"/>
  <c r="AG966" i="2" s="1"/>
  <c r="AG429" i="2"/>
  <c r="AG967" i="2" s="1"/>
  <c r="AG430" i="2"/>
  <c r="AG968" i="2" s="1"/>
  <c r="AG431" i="2"/>
  <c r="AG969" i="2" s="1"/>
  <c r="AG432" i="2"/>
  <c r="AG970" i="2" s="1"/>
  <c r="AG433" i="2"/>
  <c r="AG971" i="2" s="1"/>
  <c r="AG434" i="2"/>
  <c r="AG972" i="2" s="1"/>
  <c r="AG435" i="2"/>
  <c r="AG818" i="2" s="1"/>
  <c r="AG436" i="2"/>
  <c r="AG974" i="2" s="1"/>
  <c r="AG437" i="2"/>
  <c r="AG975" i="2" s="1"/>
  <c r="AG438" i="2"/>
  <c r="AG976" i="2" s="1"/>
  <c r="AG439" i="2"/>
  <c r="AG445" i="2"/>
  <c r="AG983" i="2" s="1"/>
  <c r="AG446" i="2"/>
  <c r="AG447" i="2"/>
  <c r="AG985" i="2" s="1"/>
  <c r="AG448" i="2"/>
  <c r="AG986" i="2" s="1"/>
  <c r="AG449" i="2"/>
  <c r="AG987" i="2" s="1"/>
  <c r="J988" i="2"/>
  <c r="AG450" i="2"/>
  <c r="AG988" i="2" s="1"/>
  <c r="AG455" i="2"/>
  <c r="AG993" i="2" s="1"/>
  <c r="AG456" i="2"/>
  <c r="AG994" i="2" s="1"/>
  <c r="AG457" i="2"/>
  <c r="AG995" i="2" s="1"/>
  <c r="AG458" i="2"/>
  <c r="AG996" i="2" s="1"/>
  <c r="AG459" i="2"/>
  <c r="AG460" i="2"/>
  <c r="AG998" i="2" s="1"/>
  <c r="AG461" i="2"/>
  <c r="AG999" i="2" s="1"/>
  <c r="AG462" i="2"/>
  <c r="AG1000" i="2" s="1"/>
  <c r="AG463" i="2"/>
  <c r="AG1001" i="2" s="1"/>
  <c r="AG464" i="2"/>
  <c r="AG465" i="2"/>
  <c r="AG1003" i="2" s="1"/>
  <c r="AG466" i="2"/>
  <c r="AG1004" i="2" s="1"/>
  <c r="AG467" i="2"/>
  <c r="AG1005" i="2" s="1"/>
  <c r="AG468" i="2"/>
  <c r="AG1006" i="2" s="1"/>
  <c r="AG469" i="2"/>
  <c r="AG1007" i="2" s="1"/>
  <c r="AG470" i="2"/>
  <c r="AG1008" i="2" s="1"/>
  <c r="AG471" i="2"/>
  <c r="AG1009" i="2" s="1"/>
  <c r="AG472" i="2"/>
  <c r="AG829" i="2" s="1"/>
  <c r="AG476" i="2"/>
  <c r="AG830" i="2" s="1"/>
  <c r="AG477" i="2"/>
  <c r="AG1015" i="2" s="1"/>
  <c r="AG478" i="2"/>
  <c r="AG1016" i="2" s="1"/>
  <c r="AG479" i="2"/>
  <c r="AG480" i="2"/>
  <c r="AG837" i="2" s="1"/>
  <c r="AG481" i="2"/>
  <c r="AG482" i="2"/>
  <c r="AG1020" i="2" s="1"/>
  <c r="AG486" i="2"/>
  <c r="AG1024" i="2" s="1"/>
  <c r="AG487" i="2"/>
  <c r="AG842" i="2" s="1"/>
  <c r="AG488" i="2"/>
  <c r="AG1026" i="2" s="1"/>
  <c r="M1027" i="2"/>
  <c r="AG489" i="2"/>
  <c r="AG1027" i="2" s="1"/>
  <c r="AG491" i="2"/>
  <c r="AG1029" i="2" s="1"/>
  <c r="AG492" i="2"/>
  <c r="AG1030" i="2" s="1"/>
  <c r="AG497" i="2"/>
  <c r="AG1035" i="2" s="1"/>
  <c r="AG498" i="2"/>
  <c r="AG1036" i="2" s="1"/>
  <c r="AG499" i="2"/>
  <c r="AG1037" i="2" s="1"/>
  <c r="AG500" i="2"/>
  <c r="AG1038" i="2" s="1"/>
  <c r="AG501" i="2"/>
  <c r="AG1039" i="2" s="1"/>
  <c r="AG502" i="2"/>
  <c r="AG503" i="2"/>
  <c r="AG1041" i="2" s="1"/>
  <c r="AG504" i="2"/>
  <c r="AG1042" i="2" s="1"/>
  <c r="AG505" i="2"/>
  <c r="AG1043" i="2" s="1"/>
  <c r="AG506" i="2"/>
  <c r="AG1044" i="2" s="1"/>
  <c r="AG513" i="2"/>
  <c r="AG514" i="2"/>
  <c r="AG515" i="2"/>
  <c r="AG516" i="2"/>
  <c r="AG517" i="2"/>
  <c r="AG518" i="2"/>
  <c r="AG519" i="2"/>
  <c r="AG520" i="2"/>
  <c r="AG521" i="2"/>
  <c r="AG522" i="2"/>
  <c r="AG523" i="2"/>
  <c r="AG524" i="2"/>
  <c r="AG525" i="2"/>
  <c r="AG526" i="2"/>
  <c r="AG527" i="2"/>
  <c r="AG528" i="2"/>
  <c r="AG529" i="2"/>
  <c r="AG530" i="2"/>
  <c r="AG531" i="2"/>
  <c r="AG536" i="2"/>
  <c r="AG537" i="2"/>
  <c r="AG1050" i="2" s="1"/>
  <c r="AG538" i="2"/>
  <c r="AG1051" i="2" s="1"/>
  <c r="AG539" i="2"/>
  <c r="AG1052" i="2" s="1"/>
  <c r="AG540" i="2"/>
  <c r="AG1053" i="2" s="1"/>
  <c r="AG541" i="2"/>
  <c r="AG1054" i="2" s="1"/>
  <c r="AG542" i="2"/>
  <c r="AG1055" i="2" s="1"/>
  <c r="AG543" i="2"/>
  <c r="AG1056" i="2" s="1"/>
  <c r="AG544" i="2"/>
  <c r="AG1057" i="2" s="1"/>
  <c r="AG545" i="2"/>
  <c r="AG1058" i="2" s="1"/>
  <c r="AG546" i="2"/>
  <c r="AG1059" i="2" s="1"/>
  <c r="AG547" i="2"/>
  <c r="AG1060" i="2" s="1"/>
  <c r="AG548" i="2"/>
  <c r="AG1061" i="2" s="1"/>
  <c r="AG549" i="2"/>
  <c r="AG1062" i="2" s="1"/>
  <c r="AG550" i="2"/>
  <c r="AG1063" i="2" s="1"/>
  <c r="AG551" i="2"/>
  <c r="AG1064" i="2" s="1"/>
  <c r="AG552" i="2"/>
  <c r="AG1065" i="2" s="1"/>
  <c r="AG557" i="2"/>
  <c r="AG1070" i="2" s="1"/>
  <c r="AG558" i="2"/>
  <c r="AG1071" i="2" s="1"/>
  <c r="AG559" i="2"/>
  <c r="AG560" i="2"/>
  <c r="AG1073" i="2" s="1"/>
  <c r="AG561" i="2"/>
  <c r="AG1074" i="2" s="1"/>
  <c r="AG562" i="2"/>
  <c r="AG1075" i="2" s="1"/>
  <c r="AG563" i="2"/>
  <c r="AG1076" i="2" s="1"/>
  <c r="AG564" i="2"/>
  <c r="AG572" i="2"/>
  <c r="AG573" i="2"/>
  <c r="AG574" i="2"/>
  <c r="AG575" i="2"/>
  <c r="AG576" i="2"/>
  <c r="AG577" i="2"/>
  <c r="AG578" i="2"/>
  <c r="AG579" i="2"/>
  <c r="AG580" i="2"/>
  <c r="AG581" i="2"/>
  <c r="AG582" i="2"/>
  <c r="AG584" i="2"/>
  <c r="AG589" i="2"/>
  <c r="AG590" i="2"/>
  <c r="AG591" i="2"/>
  <c r="AG592" i="2"/>
  <c r="AG593" i="2"/>
  <c r="AG594" i="2"/>
  <c r="AG595" i="2"/>
  <c r="AG596" i="2"/>
  <c r="AG597" i="2"/>
  <c r="AG598" i="2"/>
  <c r="AG603" i="2"/>
  <c r="AG604" i="2"/>
  <c r="AG609" i="2"/>
  <c r="AG728" i="2" s="1"/>
  <c r="AG759" i="2" s="1"/>
  <c r="AG1085" i="2" s="1"/>
  <c r="AG614" i="2"/>
  <c r="AG803" i="2" s="1"/>
  <c r="AG615" i="2"/>
  <c r="AG804" i="2" s="1"/>
  <c r="AG616" i="2"/>
  <c r="AG805" i="2" s="1"/>
  <c r="AG617" i="2"/>
  <c r="AG806" i="2" s="1"/>
  <c r="AG618" i="2"/>
  <c r="AG807" i="2" s="1"/>
  <c r="AG619" i="2"/>
  <c r="AG808" i="2" s="1"/>
  <c r="AG620" i="2"/>
  <c r="AG809" i="2" s="1"/>
  <c r="AG621" i="2"/>
  <c r="AG810" i="2" s="1"/>
  <c r="AG622" i="2"/>
  <c r="AG811" i="2" s="1"/>
  <c r="AG623" i="2"/>
  <c r="AG812" i="2" s="1"/>
  <c r="AG624" i="2"/>
  <c r="AG813" i="2" s="1"/>
  <c r="AG625" i="2"/>
  <c r="AG626" i="2"/>
  <c r="AG627" i="2"/>
  <c r="AG628" i="2"/>
  <c r="AG629" i="2"/>
  <c r="AG630" i="2"/>
  <c r="AG643" i="2"/>
  <c r="AG672" i="2" s="1"/>
  <c r="AG700" i="2" s="1"/>
  <c r="AG731" i="2" s="1"/>
  <c r="AG761" i="2" s="1"/>
  <c r="AG1087" i="2" s="1"/>
  <c r="AG644" i="2"/>
  <c r="AG673" i="2" s="1"/>
  <c r="AG701" i="2" s="1"/>
  <c r="AG732" i="2" s="1"/>
  <c r="AG762" i="2" s="1"/>
  <c r="AG1088" i="2" s="1"/>
  <c r="AG645" i="2"/>
  <c r="AG674" i="2" s="1"/>
  <c r="AG702" i="2" s="1"/>
  <c r="AG733" i="2" s="1"/>
  <c r="AG763" i="2" s="1"/>
  <c r="AG1089" i="2" s="1"/>
  <c r="AG646" i="2"/>
  <c r="AG675" i="2" s="1"/>
  <c r="AG703" i="2" s="1"/>
  <c r="AG734" i="2" s="1"/>
  <c r="AG764" i="2" s="1"/>
  <c r="AG1090" i="2" s="1"/>
  <c r="AG647" i="2"/>
  <c r="AG676" i="2" s="1"/>
  <c r="AG704" i="2" s="1"/>
  <c r="AG735" i="2" s="1"/>
  <c r="AG765" i="2" s="1"/>
  <c r="AG1091" i="2" s="1"/>
  <c r="AG648" i="2"/>
  <c r="AG677" i="2" s="1"/>
  <c r="AG705" i="2" s="1"/>
  <c r="AG736" i="2" s="1"/>
  <c r="AG766" i="2" s="1"/>
  <c r="AG1092" i="2" s="1"/>
  <c r="AG649" i="2"/>
  <c r="AG678" i="2" s="1"/>
  <c r="AG706" i="2" s="1"/>
  <c r="AG737" i="2" s="1"/>
  <c r="AG767" i="2" s="1"/>
  <c r="AG1093" i="2" s="1"/>
  <c r="AG650" i="2"/>
  <c r="AG679" i="2" s="1"/>
  <c r="AG707" i="2" s="1"/>
  <c r="AG738" i="2" s="1"/>
  <c r="AG768" i="2" s="1"/>
  <c r="AG1094" i="2" s="1"/>
  <c r="AG651" i="2"/>
  <c r="AG652" i="2"/>
  <c r="AG681" i="2" s="1"/>
  <c r="AG709" i="2" s="1"/>
  <c r="AG740" i="2" s="1"/>
  <c r="AG770" i="2" s="1"/>
  <c r="AG1096" i="2" s="1"/>
  <c r="AG654" i="2"/>
  <c r="AG682" i="2" s="1"/>
  <c r="AG710" i="2" s="1"/>
  <c r="AG741" i="2" s="1"/>
  <c r="AG771" i="2" s="1"/>
  <c r="AG1097" i="2" s="1"/>
  <c r="AG655" i="2"/>
  <c r="AG683" i="2" s="1"/>
  <c r="AG711" i="2" s="1"/>
  <c r="AG742" i="2" s="1"/>
  <c r="AG772" i="2" s="1"/>
  <c r="AG1098" i="2" s="1"/>
  <c r="AG660" i="2"/>
  <c r="AG688" i="2" s="1"/>
  <c r="AG716" i="2" s="1"/>
  <c r="AG747" i="2" s="1"/>
  <c r="AG777" i="2" s="1"/>
  <c r="AG1102" i="2" s="1"/>
  <c r="AG661" i="2"/>
  <c r="AG689" i="2" s="1"/>
  <c r="AG717" i="2" s="1"/>
  <c r="AG748" i="2" s="1"/>
  <c r="AG778" i="2" s="1"/>
  <c r="AG1103" i="2" s="1"/>
  <c r="AG662" i="2"/>
  <c r="AG690" i="2" s="1"/>
  <c r="AG718" i="2" s="1"/>
  <c r="AG749" i="2" s="1"/>
  <c r="AG779" i="2" s="1"/>
  <c r="AG1104" i="2" s="1"/>
  <c r="AG663" i="2"/>
  <c r="AG691" i="2" s="1"/>
  <c r="AG719" i="2" s="1"/>
  <c r="AG750" i="2" s="1"/>
  <c r="AG780" i="2" s="1"/>
  <c r="AG1105" i="2" s="1"/>
  <c r="AG664" i="2"/>
  <c r="AG692" i="2" s="1"/>
  <c r="AG720" i="2" s="1"/>
  <c r="AG751" i="2" s="1"/>
  <c r="AG781" i="2" s="1"/>
  <c r="AG1106" i="2" s="1"/>
  <c r="AG665" i="2"/>
  <c r="AG693" i="2" s="1"/>
  <c r="AG721" i="2" s="1"/>
  <c r="AG752" i="2" s="1"/>
  <c r="AG782" i="2" s="1"/>
  <c r="AG1107" i="2" s="1"/>
  <c r="AG666" i="2"/>
  <c r="AG694" i="2" s="1"/>
  <c r="AG722" i="2" s="1"/>
  <c r="AG753" i="2" s="1"/>
  <c r="AG783" i="2" s="1"/>
  <c r="AG1108" i="2" s="1"/>
  <c r="AG667" i="2"/>
  <c r="AG695" i="2" s="1"/>
  <c r="AG723" i="2" s="1"/>
  <c r="AG754" i="2" s="1"/>
  <c r="AG784" i="2" s="1"/>
  <c r="AG1109" i="2" s="1"/>
  <c r="AG668" i="2"/>
  <c r="AG696" i="2" s="1"/>
  <c r="AG724" i="2" s="1"/>
  <c r="AG755" i="2" s="1"/>
  <c r="AG785" i="2" s="1"/>
  <c r="AG1110" i="2" s="1"/>
  <c r="AG669" i="2"/>
  <c r="AG697" i="2" s="1"/>
  <c r="AG725" i="2" s="1"/>
  <c r="AG756" i="2" s="1"/>
  <c r="AG786" i="2" s="1"/>
  <c r="AG1111" i="2" s="1"/>
  <c r="AG680" i="2"/>
  <c r="AG685" i="2"/>
  <c r="AG686" i="2"/>
  <c r="AG714" i="2" s="1"/>
  <c r="AG708" i="2"/>
  <c r="AG739" i="2" s="1"/>
  <c r="AG769" i="2" s="1"/>
  <c r="AG1095" i="2" s="1"/>
  <c r="AG713" i="2"/>
  <c r="AG744" i="2" s="1"/>
  <c r="AG774" i="2" s="1"/>
  <c r="AG745" i="2"/>
  <c r="AG775" i="2" s="1"/>
  <c r="AG817" i="2"/>
  <c r="AG839" i="2"/>
  <c r="AG861" i="2"/>
  <c r="AG862" i="2"/>
  <c r="AG865" i="2"/>
  <c r="AG866" i="2"/>
  <c r="AG867" i="2"/>
  <c r="AG868" i="2"/>
  <c r="AG870" i="2"/>
  <c r="AG871" i="2"/>
  <c r="AG872" i="2"/>
  <c r="AG873" i="2"/>
  <c r="AG891" i="2"/>
  <c r="AG895" i="2"/>
  <c r="AG911" i="2"/>
  <c r="AG915" i="2"/>
  <c r="AG946" i="2"/>
  <c r="AG963" i="2"/>
  <c r="AG982" i="2"/>
  <c r="AG984" i="2"/>
  <c r="AG997" i="2"/>
  <c r="AG1002" i="2"/>
  <c r="AG1017" i="2"/>
  <c r="AG1025" i="2"/>
  <c r="AG1040" i="2"/>
  <c r="AG1049" i="2"/>
  <c r="AG1072" i="2"/>
  <c r="AG1077" i="2"/>
  <c r="AG1175" i="2"/>
  <c r="AG1176" i="2"/>
  <c r="AG1177" i="2"/>
  <c r="AG1178" i="2"/>
  <c r="AG1179" i="2"/>
  <c r="AG1180" i="2"/>
  <c r="AG1181" i="2"/>
  <c r="AG1182" i="2"/>
  <c r="AG1183" i="2"/>
  <c r="AG1184" i="2"/>
  <c r="AG1185" i="2"/>
  <c r="AG1186" i="2"/>
  <c r="AG1187" i="2"/>
  <c r="AG1188" i="2"/>
  <c r="AG1189" i="2"/>
  <c r="AG1190" i="2"/>
  <c r="AG1191" i="2"/>
  <c r="AG1192" i="2"/>
  <c r="AG1193" i="2"/>
  <c r="AG1194" i="2"/>
  <c r="AG1195" i="2"/>
  <c r="AG1196" i="2"/>
  <c r="AG1197" i="2"/>
  <c r="AG1198" i="2"/>
  <c r="AG1199" i="2"/>
  <c r="AG1200" i="2"/>
  <c r="AG1201" i="2"/>
  <c r="AG1202" i="2"/>
  <c r="AG1203" i="2"/>
  <c r="AG1204" i="2"/>
  <c r="AG1205" i="2"/>
  <c r="AG1206" i="2"/>
  <c r="AG1207" i="2"/>
  <c r="AG1208" i="2"/>
  <c r="AG1209" i="2"/>
  <c r="AG1210" i="2"/>
  <c r="AG1211" i="2"/>
  <c r="AG1212" i="2"/>
  <c r="AG1213" i="2"/>
  <c r="AG1214" i="2"/>
  <c r="AG1221" i="2"/>
  <c r="AG1222" i="2"/>
  <c r="AG1223" i="2"/>
  <c r="AG1224" i="2"/>
  <c r="AG1225" i="2"/>
  <c r="AG1226" i="2"/>
  <c r="AG1227" i="2"/>
  <c r="AG1228" i="2"/>
  <c r="AG1229" i="2"/>
  <c r="AG1230" i="2"/>
  <c r="AG1231" i="2"/>
  <c r="AG1232" i="2"/>
  <c r="AG1233" i="2"/>
  <c r="AG1234" i="2"/>
  <c r="AG1235" i="2"/>
  <c r="AG1236" i="2"/>
  <c r="AG1246" i="2"/>
  <c r="B1220" i="2"/>
  <c r="E1196" i="2"/>
  <c r="E1188" i="2"/>
  <c r="E1168" i="2"/>
  <c r="E1164" i="2"/>
  <c r="E1144" i="2"/>
  <c r="E1140" i="2"/>
  <c r="E1134" i="2"/>
  <c r="E1125" i="2"/>
  <c r="K947" i="2"/>
  <c r="A937" i="2"/>
  <c r="A876" i="2"/>
  <c r="E870" i="2"/>
  <c r="E869" i="2"/>
  <c r="E868" i="2"/>
  <c r="E867" i="2"/>
  <c r="N871" i="2"/>
  <c r="G871" i="2"/>
  <c r="I871" i="2"/>
  <c r="E865" i="2"/>
  <c r="E864" i="2"/>
  <c r="E863" i="2"/>
  <c r="E862" i="2"/>
  <c r="P871" i="2"/>
  <c r="L871" i="2"/>
  <c r="H871" i="2"/>
  <c r="E861" i="2"/>
  <c r="G784" i="2"/>
  <c r="O780" i="2"/>
  <c r="K780" i="2"/>
  <c r="G780" i="2"/>
  <c r="P779" i="2"/>
  <c r="L779" i="2"/>
  <c r="H779" i="2"/>
  <c r="O775" i="2"/>
  <c r="K775" i="2"/>
  <c r="O770" i="2"/>
  <c r="O762" i="2"/>
  <c r="K762" i="2"/>
  <c r="G762" i="2"/>
  <c r="E723" i="2"/>
  <c r="E719" i="2"/>
  <c r="E714" i="2"/>
  <c r="B861" i="2"/>
  <c r="A634" i="2"/>
  <c r="H804" i="2"/>
  <c r="A606" i="2"/>
  <c r="A600" i="2"/>
  <c r="J1111" i="2"/>
  <c r="M1110" i="2"/>
  <c r="A586" i="2"/>
  <c r="I1077" i="2"/>
  <c r="J1077" i="2"/>
  <c r="Q1076" i="2"/>
  <c r="M1076" i="2"/>
  <c r="L1076" i="2"/>
  <c r="H1076" i="2"/>
  <c r="G1076" i="2"/>
  <c r="M1074" i="2"/>
  <c r="Q1074" i="2"/>
  <c r="B556" i="2"/>
  <c r="B1069" i="2" s="1"/>
  <c r="P1065" i="2"/>
  <c r="K1065" i="2"/>
  <c r="B535" i="2"/>
  <c r="B1048" i="2" s="1"/>
  <c r="B512" i="2"/>
  <c r="B510" i="2"/>
  <c r="B508" i="2"/>
  <c r="B1046" i="2" s="1"/>
  <c r="Q1044" i="2"/>
  <c r="N1044" i="2"/>
  <c r="M1044" i="2"/>
  <c r="I1044" i="2"/>
  <c r="J1038" i="2"/>
  <c r="B496" i="2"/>
  <c r="B1034" i="2" s="1"/>
  <c r="O1029" i="2"/>
  <c r="J1029" i="2"/>
  <c r="P1024" i="2"/>
  <c r="Q1024" i="2"/>
  <c r="N1024" i="2"/>
  <c r="M1024" i="2"/>
  <c r="J1024" i="2"/>
  <c r="I1024" i="2"/>
  <c r="F1024" i="2"/>
  <c r="K1016" i="2"/>
  <c r="P1010" i="2"/>
  <c r="Q1010" i="2"/>
  <c r="M1010" i="2"/>
  <c r="I1010" i="2"/>
  <c r="M1008" i="2"/>
  <c r="J1008" i="2"/>
  <c r="M1006" i="2"/>
  <c r="J1006" i="2"/>
  <c r="N1005" i="2"/>
  <c r="J998" i="2"/>
  <c r="O996" i="2"/>
  <c r="K996" i="2"/>
  <c r="J994" i="2"/>
  <c r="B454" i="2"/>
  <c r="B992" i="2" s="1"/>
  <c r="P988" i="2"/>
  <c r="M988" i="2"/>
  <c r="B443" i="2"/>
  <c r="B981" i="2" s="1"/>
  <c r="P976" i="2"/>
  <c r="Q976" i="2"/>
  <c r="M976" i="2"/>
  <c r="I976" i="2"/>
  <c r="O974" i="2"/>
  <c r="K974" i="2"/>
  <c r="G974" i="2"/>
  <c r="Q965" i="2"/>
  <c r="N965" i="2"/>
  <c r="M965" i="2"/>
  <c r="J965" i="2"/>
  <c r="I965" i="2"/>
  <c r="E427" i="2"/>
  <c r="E965" i="2" s="1"/>
  <c r="F965" i="2"/>
  <c r="M961" i="2"/>
  <c r="P958" i="2"/>
  <c r="Q958" i="2"/>
  <c r="M958" i="2"/>
  <c r="I958" i="2"/>
  <c r="N956" i="2"/>
  <c r="M956" i="2"/>
  <c r="N954" i="2"/>
  <c r="J954" i="2"/>
  <c r="M947" i="2"/>
  <c r="N943" i="2"/>
  <c r="J942" i="2"/>
  <c r="P940" i="2"/>
  <c r="Q940" i="2"/>
  <c r="N940" i="2"/>
  <c r="M940" i="2"/>
  <c r="J940" i="2"/>
  <c r="I940" i="2"/>
  <c r="B400" i="2"/>
  <c r="B938" i="2" s="1"/>
  <c r="A399" i="2"/>
  <c r="O930" i="2"/>
  <c r="P929" i="2"/>
  <c r="Q929" i="2"/>
  <c r="O929" i="2"/>
  <c r="N929" i="2"/>
  <c r="M929" i="2"/>
  <c r="K929" i="2"/>
  <c r="J929" i="2"/>
  <c r="I929" i="2"/>
  <c r="G929" i="2"/>
  <c r="N925" i="2"/>
  <c r="J925" i="2"/>
  <c r="G924" i="2"/>
  <c r="O924" i="2"/>
  <c r="B381" i="2"/>
  <c r="B922" i="2" s="1"/>
  <c r="B379" i="2"/>
  <c r="B920" i="2" s="1"/>
  <c r="B360" i="2"/>
  <c r="B901" i="2" s="1"/>
  <c r="P893" i="2"/>
  <c r="Q893" i="2"/>
  <c r="N893" i="2"/>
  <c r="M893" i="2"/>
  <c r="I893" i="2"/>
  <c r="P885" i="2"/>
  <c r="Q885" i="2"/>
  <c r="N885" i="2"/>
  <c r="M885" i="2"/>
  <c r="I885" i="2"/>
  <c r="M881" i="2"/>
  <c r="J881" i="2"/>
  <c r="J879" i="2"/>
  <c r="B336" i="2"/>
  <c r="B877" i="2" s="1"/>
  <c r="A335" i="2"/>
  <c r="A394" i="2" s="1"/>
  <c r="A935" i="2" s="1"/>
  <c r="B330" i="2"/>
  <c r="A311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A288" i="2"/>
  <c r="A264" i="2"/>
  <c r="A247" i="2"/>
  <c r="A240" i="2"/>
  <c r="A569" i="2" s="1"/>
  <c r="B238" i="2"/>
  <c r="B567" i="2" s="1"/>
  <c r="B1080" i="2" s="1"/>
  <c r="B225" i="2"/>
  <c r="B554" i="2" s="1"/>
  <c r="B1067" i="2" s="1"/>
  <c r="B203" i="2"/>
  <c r="B533" i="2" s="1"/>
  <c r="B178" i="2"/>
  <c r="B164" i="2"/>
  <c r="B494" i="2" s="1"/>
  <c r="B1032" i="2" s="1"/>
  <c r="E159" i="2"/>
  <c r="B122" i="2"/>
  <c r="B452" i="2" s="1"/>
  <c r="B990" i="2" s="1"/>
  <c r="N122" i="2"/>
  <c r="B111" i="2"/>
  <c r="B441" i="2" s="1"/>
  <c r="B979" i="2" s="1"/>
  <c r="A66" i="2"/>
  <c r="B64" i="2"/>
  <c r="B392" i="2" s="1"/>
  <c r="B933" i="2" s="1"/>
  <c r="B51" i="2"/>
  <c r="B30" i="2"/>
  <c r="B358" i="2" s="1"/>
  <c r="B899" i="2" s="1"/>
  <c r="J5" i="2"/>
  <c r="G3" i="2"/>
  <c r="D76" i="3" l="1"/>
  <c r="D122" i="3" s="1"/>
  <c r="D126" i="3" s="1"/>
  <c r="I76" i="3"/>
  <c r="I122" i="3" s="1"/>
  <c r="M72" i="3"/>
  <c r="M90" i="3"/>
  <c r="K90" i="3"/>
  <c r="M16" i="3"/>
  <c r="G27" i="3"/>
  <c r="F21" i="3"/>
  <c r="F27" i="3" s="1"/>
  <c r="F76" i="3" s="1"/>
  <c r="M115" i="3"/>
  <c r="G36" i="3"/>
  <c r="N1002" i="2"/>
  <c r="AG1014" i="2"/>
  <c r="AG834" i="2"/>
  <c r="P943" i="2"/>
  <c r="AG271" i="2"/>
  <c r="AG1010" i="2"/>
  <c r="AG816" i="2"/>
  <c r="M939" i="2"/>
  <c r="Q945" i="2"/>
  <c r="I1040" i="2"/>
  <c r="AG272" i="2"/>
  <c r="AG270" i="2"/>
  <c r="AG268" i="2"/>
  <c r="AG85" i="2"/>
  <c r="P890" i="2"/>
  <c r="M888" i="2"/>
  <c r="Q939" i="2"/>
  <c r="G943" i="2"/>
  <c r="J947" i="2"/>
  <c r="M1011" i="2"/>
  <c r="Q1036" i="2"/>
  <c r="M890" i="2"/>
  <c r="J959" i="2"/>
  <c r="F1011" i="2"/>
  <c r="N890" i="2"/>
  <c r="I943" i="2"/>
  <c r="Q943" i="2"/>
  <c r="I945" i="2"/>
  <c r="N947" i="2"/>
  <c r="Q1002" i="2"/>
  <c r="I1011" i="2"/>
  <c r="Q1011" i="2"/>
  <c r="AG1018" i="2"/>
  <c r="P888" i="2"/>
  <c r="N1011" i="2"/>
  <c r="AG973" i="2"/>
  <c r="J943" i="2"/>
  <c r="N945" i="2"/>
  <c r="I947" i="2"/>
  <c r="J1011" i="2"/>
  <c r="AG836" i="2"/>
  <c r="AG944" i="2"/>
  <c r="AG835" i="2"/>
  <c r="AG828" i="2"/>
  <c r="P1040" i="2"/>
  <c r="Q1040" i="2"/>
  <c r="O1023" i="2"/>
  <c r="K1023" i="2"/>
  <c r="AG1019" i="2"/>
  <c r="AG838" i="2"/>
  <c r="N996" i="2"/>
  <c r="J996" i="2"/>
  <c r="Q988" i="2"/>
  <c r="I988" i="2"/>
  <c r="N988" i="2"/>
  <c r="F988" i="2"/>
  <c r="AG819" i="2"/>
  <c r="AG977" i="2"/>
  <c r="Q888" i="2"/>
  <c r="J945" i="2"/>
  <c r="P945" i="2"/>
  <c r="Q956" i="2"/>
  <c r="I1002" i="2"/>
  <c r="P1002" i="2"/>
  <c r="I888" i="2"/>
  <c r="I956" i="2"/>
  <c r="E18" i="2"/>
  <c r="E60" i="2"/>
  <c r="E1208" i="2"/>
  <c r="E21" i="2"/>
  <c r="E73" i="2"/>
  <c r="E106" i="2"/>
  <c r="E146" i="2"/>
  <c r="E658" i="2"/>
  <c r="E1158" i="2"/>
  <c r="E1176" i="2"/>
  <c r="E1180" i="2"/>
  <c r="E1200" i="2"/>
  <c r="E1192" i="2"/>
  <c r="E149" i="2"/>
  <c r="E1142" i="2"/>
  <c r="E1184" i="2"/>
  <c r="E1204" i="2"/>
  <c r="H960" i="2"/>
  <c r="H962" i="2"/>
  <c r="P983" i="2"/>
  <c r="G1118" i="2"/>
  <c r="F1120" i="2" s="1"/>
  <c r="H3" i="2"/>
  <c r="J122" i="2"/>
  <c r="F885" i="2"/>
  <c r="G892" i="2"/>
  <c r="O917" i="2"/>
  <c r="K917" i="2"/>
  <c r="G917" i="2"/>
  <c r="N917" i="2"/>
  <c r="J917" i="2"/>
  <c r="M917" i="2"/>
  <c r="Q917" i="2"/>
  <c r="I917" i="2"/>
  <c r="N927" i="2"/>
  <c r="J927" i="2"/>
  <c r="Q927" i="2"/>
  <c r="M927" i="2"/>
  <c r="I927" i="2"/>
  <c r="L927" i="2"/>
  <c r="P927" i="2"/>
  <c r="H927" i="2"/>
  <c r="F929" i="2"/>
  <c r="P939" i="2"/>
  <c r="K941" i="2"/>
  <c r="O952" i="2"/>
  <c r="I955" i="2"/>
  <c r="L963" i="2"/>
  <c r="L966" i="2"/>
  <c r="Q968" i="2"/>
  <c r="M968" i="2"/>
  <c r="I968" i="2"/>
  <c r="P968" i="2"/>
  <c r="L968" i="2"/>
  <c r="H968" i="2"/>
  <c r="J968" i="2"/>
  <c r="N968" i="2"/>
  <c r="H983" i="2"/>
  <c r="L995" i="2"/>
  <c r="K1004" i="2"/>
  <c r="F1005" i="2"/>
  <c r="O1026" i="2"/>
  <c r="K1026" i="2"/>
  <c r="G1026" i="2"/>
  <c r="M1026" i="2"/>
  <c r="Q1026" i="2"/>
  <c r="I1026" i="2"/>
  <c r="N1026" i="2"/>
  <c r="F878" i="2"/>
  <c r="N884" i="2"/>
  <c r="J884" i="2"/>
  <c r="Q884" i="2"/>
  <c r="M884" i="2"/>
  <c r="P884" i="2"/>
  <c r="H884" i="2"/>
  <c r="O891" i="2"/>
  <c r="P918" i="2"/>
  <c r="H918" i="2"/>
  <c r="L918" i="2"/>
  <c r="G927" i="2"/>
  <c r="N930" i="2"/>
  <c r="J930" i="2"/>
  <c r="Q930" i="2"/>
  <c r="M930" i="2"/>
  <c r="I930" i="2"/>
  <c r="L930" i="2"/>
  <c r="P930" i="2"/>
  <c r="H930" i="2"/>
  <c r="F940" i="2"/>
  <c r="F942" i="2"/>
  <c r="E404" i="2"/>
  <c r="E942" i="2" s="1"/>
  <c r="J948" i="2"/>
  <c r="I948" i="2"/>
  <c r="P948" i="2"/>
  <c r="F950" i="2"/>
  <c r="F954" i="2"/>
  <c r="F956" i="2"/>
  <c r="P960" i="2"/>
  <c r="Q819" i="2"/>
  <c r="P962" i="2"/>
  <c r="L969" i="2"/>
  <c r="I982" i="2"/>
  <c r="N982" i="2"/>
  <c r="P982" i="2"/>
  <c r="N1000" i="2"/>
  <c r="M1000" i="2"/>
  <c r="K1000" i="2"/>
  <c r="N1004" i="2"/>
  <c r="Q1004" i="2"/>
  <c r="L1004" i="2"/>
  <c r="P1004" i="2"/>
  <c r="G1004" i="2"/>
  <c r="H1009" i="2"/>
  <c r="E20" i="2"/>
  <c r="E148" i="2"/>
  <c r="E184" i="2"/>
  <c r="J878" i="2"/>
  <c r="J887" i="2"/>
  <c r="M887" i="2"/>
  <c r="I887" i="2"/>
  <c r="H887" i="2"/>
  <c r="N889" i="2"/>
  <c r="Q889" i="2"/>
  <c r="P889" i="2"/>
  <c r="J891" i="2"/>
  <c r="I891" i="2"/>
  <c r="L891" i="2"/>
  <c r="O892" i="2"/>
  <c r="F893" i="2"/>
  <c r="L897" i="2"/>
  <c r="G897" i="2"/>
  <c r="L917" i="2"/>
  <c r="M918" i="2"/>
  <c r="O925" i="2"/>
  <c r="K925" i="2"/>
  <c r="G925" i="2"/>
  <c r="M925" i="2"/>
  <c r="Q925" i="2"/>
  <c r="I925" i="2"/>
  <c r="K927" i="2"/>
  <c r="G930" i="2"/>
  <c r="P941" i="2"/>
  <c r="G948" i="2"/>
  <c r="Q955" i="2"/>
  <c r="O958" i="2"/>
  <c r="K958" i="2"/>
  <c r="G958" i="2"/>
  <c r="J958" i="2"/>
  <c r="N958" i="2"/>
  <c r="O968" i="2"/>
  <c r="L970" i="2"/>
  <c r="I970" i="2"/>
  <c r="J975" i="2"/>
  <c r="J686" i="2"/>
  <c r="O975" i="2"/>
  <c r="O686" i="2"/>
  <c r="O976" i="2"/>
  <c r="K976" i="2"/>
  <c r="G976" i="2"/>
  <c r="J976" i="2"/>
  <c r="N976" i="2"/>
  <c r="F819" i="2"/>
  <c r="N994" i="2"/>
  <c r="K994" i="2"/>
  <c r="N998" i="2"/>
  <c r="K998" i="2"/>
  <c r="P1015" i="2"/>
  <c r="H1017" i="2"/>
  <c r="G1025" i="2"/>
  <c r="J1043" i="2"/>
  <c r="O1043" i="2"/>
  <c r="N1071" i="2"/>
  <c r="I1071" i="2"/>
  <c r="K1071" i="2"/>
  <c r="G1071" i="2"/>
  <c r="Q1071" i="2"/>
  <c r="M1071" i="2"/>
  <c r="N1072" i="2"/>
  <c r="J1072" i="2"/>
  <c r="Q1072" i="2"/>
  <c r="L1072" i="2"/>
  <c r="G1072" i="2"/>
  <c r="P1072" i="2"/>
  <c r="K1072" i="2"/>
  <c r="H1072" i="2"/>
  <c r="O1072" i="2"/>
  <c r="M1072" i="2"/>
  <c r="I1072" i="2"/>
  <c r="G1110" i="2"/>
  <c r="G696" i="2"/>
  <c r="Q122" i="2"/>
  <c r="M122" i="2"/>
  <c r="I122" i="2"/>
  <c r="O122" i="2"/>
  <c r="K122" i="2"/>
  <c r="G122" i="2"/>
  <c r="K891" i="2"/>
  <c r="F925" i="2"/>
  <c r="F943" i="2"/>
  <c r="F945" i="2"/>
  <c r="F947" i="2"/>
  <c r="J963" i="2"/>
  <c r="I963" i="2"/>
  <c r="K963" i="2"/>
  <c r="G968" i="2"/>
  <c r="H969" i="2"/>
  <c r="N975" i="2"/>
  <c r="N686" i="2"/>
  <c r="K1001" i="2"/>
  <c r="N1001" i="2"/>
  <c r="H1015" i="2"/>
  <c r="P1017" i="2"/>
  <c r="J1026" i="2"/>
  <c r="F1044" i="2"/>
  <c r="P767" i="2"/>
  <c r="L767" i="2"/>
  <c r="H767" i="2"/>
  <c r="O767" i="2"/>
  <c r="K767" i="2"/>
  <c r="G767" i="2"/>
  <c r="M767" i="2"/>
  <c r="Q767" i="2"/>
  <c r="I767" i="2"/>
  <c r="N767" i="2"/>
  <c r="J767" i="2"/>
  <c r="E97" i="2"/>
  <c r="L122" i="2"/>
  <c r="J886" i="2"/>
  <c r="I886" i="2"/>
  <c r="F888" i="2"/>
  <c r="F890" i="2"/>
  <c r="H917" i="2"/>
  <c r="I918" i="2"/>
  <c r="N924" i="2"/>
  <c r="J924" i="2"/>
  <c r="Q924" i="2"/>
  <c r="M924" i="2"/>
  <c r="I924" i="2"/>
  <c r="P924" i="2"/>
  <c r="H924" i="2"/>
  <c r="L924" i="2"/>
  <c r="N952" i="2"/>
  <c r="Q952" i="2"/>
  <c r="L952" i="2"/>
  <c r="P952" i="2"/>
  <c r="P957" i="2"/>
  <c r="F959" i="2"/>
  <c r="E421" i="2"/>
  <c r="E959" i="2" s="1"/>
  <c r="N960" i="2"/>
  <c r="J960" i="2"/>
  <c r="Q960" i="2"/>
  <c r="M960" i="2"/>
  <c r="G960" i="2"/>
  <c r="K960" i="2"/>
  <c r="N962" i="2"/>
  <c r="J962" i="2"/>
  <c r="Q962" i="2"/>
  <c r="M962" i="2"/>
  <c r="I962" i="2"/>
  <c r="O962" i="2"/>
  <c r="G962" i="2"/>
  <c r="K962" i="2"/>
  <c r="K968" i="2"/>
  <c r="P973" i="2"/>
  <c r="F975" i="2"/>
  <c r="F686" i="2"/>
  <c r="O1001" i="2"/>
  <c r="O1005" i="2"/>
  <c r="K1005" i="2"/>
  <c r="G1005" i="2"/>
  <c r="Q1005" i="2"/>
  <c r="I1005" i="2"/>
  <c r="M1005" i="2"/>
  <c r="J1005" i="2"/>
  <c r="Q1014" i="2"/>
  <c r="M1014" i="2"/>
  <c r="I1014" i="2"/>
  <c r="P1014" i="2"/>
  <c r="L1014" i="2"/>
  <c r="H1014" i="2"/>
  <c r="N1014" i="2"/>
  <c r="J1014" i="2"/>
  <c r="O1014" i="2"/>
  <c r="G1014" i="2"/>
  <c r="L1021" i="2"/>
  <c r="F1088" i="2"/>
  <c r="F673" i="2"/>
  <c r="E19" i="2"/>
  <c r="E55" i="2"/>
  <c r="E61" i="2"/>
  <c r="E86" i="2"/>
  <c r="H122" i="2"/>
  <c r="P122" i="2"/>
  <c r="E147" i="2"/>
  <c r="N878" i="2"/>
  <c r="P882" i="2"/>
  <c r="O882" i="2"/>
  <c r="K884" i="2"/>
  <c r="K886" i="2"/>
  <c r="G891" i="2"/>
  <c r="N892" i="2"/>
  <c r="Q892" i="2"/>
  <c r="P892" i="2"/>
  <c r="P917" i="2"/>
  <c r="Q918" i="2"/>
  <c r="K924" i="2"/>
  <c r="O927" i="2"/>
  <c r="K930" i="2"/>
  <c r="K948" i="2"/>
  <c r="N950" i="2"/>
  <c r="O950" i="2"/>
  <c r="K950" i="2"/>
  <c r="G950" i="2"/>
  <c r="M950" i="2"/>
  <c r="Q950" i="2"/>
  <c r="I950" i="2"/>
  <c r="K952" i="2"/>
  <c r="J961" i="2"/>
  <c r="L962" i="2"/>
  <c r="P964" i="2"/>
  <c r="N964" i="2"/>
  <c r="Q964" i="2"/>
  <c r="O964" i="2"/>
  <c r="G964" i="2"/>
  <c r="P969" i="2"/>
  <c r="N969" i="2"/>
  <c r="Q969" i="2"/>
  <c r="M969" i="2"/>
  <c r="K969" i="2"/>
  <c r="O969" i="2"/>
  <c r="K973" i="2"/>
  <c r="Q974" i="2"/>
  <c r="M974" i="2"/>
  <c r="I974" i="2"/>
  <c r="P974" i="2"/>
  <c r="L974" i="2"/>
  <c r="H974" i="2"/>
  <c r="N974" i="2"/>
  <c r="J974" i="2"/>
  <c r="F982" i="2"/>
  <c r="Q982" i="2"/>
  <c r="L983" i="2"/>
  <c r="N983" i="2"/>
  <c r="J983" i="2"/>
  <c r="Q983" i="2"/>
  <c r="I983" i="2"/>
  <c r="M983" i="2"/>
  <c r="O994" i="2"/>
  <c r="F996" i="2"/>
  <c r="O998" i="2"/>
  <c r="L1000" i="2"/>
  <c r="J1001" i="2"/>
  <c r="F1002" i="2"/>
  <c r="E464" i="2"/>
  <c r="E1002" i="2" s="1"/>
  <c r="J1009" i="2"/>
  <c r="M1009" i="2"/>
  <c r="I1009" i="2"/>
  <c r="G1009" i="2"/>
  <c r="L1009" i="2"/>
  <c r="K1014" i="2"/>
  <c r="Q1016" i="2"/>
  <c r="M1016" i="2"/>
  <c r="I1016" i="2"/>
  <c r="P1016" i="2"/>
  <c r="L1016" i="2"/>
  <c r="H1016" i="2"/>
  <c r="N1016" i="2"/>
  <c r="J1016" i="2"/>
  <c r="O1016" i="2"/>
  <c r="G1016" i="2"/>
  <c r="O1021" i="2"/>
  <c r="K1021" i="2"/>
  <c r="G1021" i="2"/>
  <c r="N1021" i="2"/>
  <c r="J1021" i="2"/>
  <c r="M1021" i="2"/>
  <c r="Q1021" i="2"/>
  <c r="I1021" i="2"/>
  <c r="P1021" i="2"/>
  <c r="H1021" i="2"/>
  <c r="L1028" i="2"/>
  <c r="O1036" i="2"/>
  <c r="K1036" i="2"/>
  <c r="G1036" i="2"/>
  <c r="J1036" i="2"/>
  <c r="N1036" i="2"/>
  <c r="M1036" i="2"/>
  <c r="P1042" i="2"/>
  <c r="L1042" i="2"/>
  <c r="H1007" i="2"/>
  <c r="P1009" i="2"/>
  <c r="O1010" i="2"/>
  <c r="K1010" i="2"/>
  <c r="G1010" i="2"/>
  <c r="L1012" i="2"/>
  <c r="G1012" i="2"/>
  <c r="K1013" i="2"/>
  <c r="Q1013" i="2"/>
  <c r="L1015" i="2"/>
  <c r="O1015" i="2"/>
  <c r="K1015" i="2"/>
  <c r="G1015" i="2"/>
  <c r="J1015" i="2"/>
  <c r="L1017" i="2"/>
  <c r="O1017" i="2"/>
  <c r="K1017" i="2"/>
  <c r="G1017" i="2"/>
  <c r="N1017" i="2"/>
  <c r="J1017" i="2"/>
  <c r="Q1023" i="2"/>
  <c r="M1023" i="2"/>
  <c r="I1023" i="2"/>
  <c r="P1023" i="2"/>
  <c r="L1023" i="2"/>
  <c r="H1023" i="2"/>
  <c r="K1025" i="2"/>
  <c r="I1025" i="2"/>
  <c r="J1027" i="2"/>
  <c r="F1029" i="2"/>
  <c r="N1029" i="2"/>
  <c r="P1036" i="2"/>
  <c r="P1039" i="2"/>
  <c r="O1040" i="2"/>
  <c r="K1040" i="2"/>
  <c r="G1040" i="2"/>
  <c r="H1042" i="2"/>
  <c r="F1043" i="2"/>
  <c r="N1043" i="2"/>
  <c r="F1065" i="2"/>
  <c r="N1065" i="2"/>
  <c r="H1065" i="2"/>
  <c r="K1074" i="2"/>
  <c r="O1077" i="2"/>
  <c r="H1111" i="2"/>
  <c r="H697" i="2"/>
  <c r="M696" i="2"/>
  <c r="Q766" i="2"/>
  <c r="M766" i="2"/>
  <c r="I766" i="2"/>
  <c r="P766" i="2"/>
  <c r="L766" i="2"/>
  <c r="H766" i="2"/>
  <c r="N766" i="2"/>
  <c r="J766" i="2"/>
  <c r="O766" i="2"/>
  <c r="K766" i="2"/>
  <c r="P785" i="2"/>
  <c r="L785" i="2"/>
  <c r="H785" i="2"/>
  <c r="O785" i="2"/>
  <c r="K785" i="2"/>
  <c r="G785" i="2"/>
  <c r="M785" i="2"/>
  <c r="Q785" i="2"/>
  <c r="I785" i="2"/>
  <c r="N785" i="2"/>
  <c r="J785" i="2"/>
  <c r="E10" i="2"/>
  <c r="E13" i="2"/>
  <c r="E92" i="2"/>
  <c r="E108" i="2"/>
  <c r="E135" i="2"/>
  <c r="E137" i="2"/>
  <c r="E139" i="2"/>
  <c r="E141" i="2"/>
  <c r="E170" i="2"/>
  <c r="E172" i="2"/>
  <c r="E194" i="2"/>
  <c r="F879" i="2"/>
  <c r="Q879" i="2"/>
  <c r="F881" i="2"/>
  <c r="Q881" i="2"/>
  <c r="J885" i="2"/>
  <c r="J888" i="2"/>
  <c r="J890" i="2"/>
  <c r="J893" i="2"/>
  <c r="O918" i="2"/>
  <c r="K918" i="2"/>
  <c r="G918" i="2"/>
  <c r="N918" i="2"/>
  <c r="J918" i="2"/>
  <c r="G941" i="2"/>
  <c r="O946" i="2"/>
  <c r="O948" i="2"/>
  <c r="K954" i="2"/>
  <c r="Q954" i="2"/>
  <c r="M954" i="2"/>
  <c r="I954" i="2"/>
  <c r="P954" i="2"/>
  <c r="L954" i="2"/>
  <c r="H954" i="2"/>
  <c r="J956" i="2"/>
  <c r="E419" i="2"/>
  <c r="E957" i="2" s="1"/>
  <c r="I959" i="2"/>
  <c r="M959" i="2"/>
  <c r="Q959" i="2"/>
  <c r="F961" i="2"/>
  <c r="Q961" i="2"/>
  <c r="H966" i="2"/>
  <c r="G973" i="2"/>
  <c r="M982" i="2"/>
  <c r="K987" i="2"/>
  <c r="M993" i="2"/>
  <c r="Q994" i="2"/>
  <c r="M994" i="2"/>
  <c r="I994" i="2"/>
  <c r="P994" i="2"/>
  <c r="L994" i="2"/>
  <c r="H994" i="2"/>
  <c r="O995" i="2"/>
  <c r="K995" i="2"/>
  <c r="G995" i="2"/>
  <c r="N995" i="2"/>
  <c r="J995" i="2"/>
  <c r="Q996" i="2"/>
  <c r="M996" i="2"/>
  <c r="I996" i="2"/>
  <c r="P996" i="2"/>
  <c r="L996" i="2"/>
  <c r="H996" i="2"/>
  <c r="G997" i="2"/>
  <c r="Q998" i="2"/>
  <c r="M998" i="2"/>
  <c r="I998" i="2"/>
  <c r="P998" i="2"/>
  <c r="L998" i="2"/>
  <c r="H998" i="2"/>
  <c r="M999" i="2"/>
  <c r="N999" i="2"/>
  <c r="G1001" i="2"/>
  <c r="J1002" i="2"/>
  <c r="P1005" i="2"/>
  <c r="I1006" i="2"/>
  <c r="N1006" i="2"/>
  <c r="P1006" i="2"/>
  <c r="I1008" i="2"/>
  <c r="N1008" i="2"/>
  <c r="P1008" i="2"/>
  <c r="J1010" i="2"/>
  <c r="G1013" i="2"/>
  <c r="M1015" i="2"/>
  <c r="M1017" i="2"/>
  <c r="N1023" i="2"/>
  <c r="O1025" i="2"/>
  <c r="L1025" i="2"/>
  <c r="F1027" i="2"/>
  <c r="Q1027" i="2"/>
  <c r="G1029" i="2"/>
  <c r="Q1030" i="2"/>
  <c r="G1030" i="2"/>
  <c r="I1038" i="2"/>
  <c r="N1038" i="2"/>
  <c r="P1038" i="2"/>
  <c r="J1040" i="2"/>
  <c r="J1042" i="2"/>
  <c r="I1042" i="2"/>
  <c r="G1043" i="2"/>
  <c r="J1044" i="2"/>
  <c r="G1065" i="2"/>
  <c r="N1076" i="2"/>
  <c r="J1076" i="2"/>
  <c r="P1076" i="2"/>
  <c r="K1076" i="2"/>
  <c r="O1076" i="2"/>
  <c r="I1076" i="2"/>
  <c r="J697" i="2"/>
  <c r="Q770" i="2"/>
  <c r="M770" i="2"/>
  <c r="I770" i="2"/>
  <c r="P770" i="2"/>
  <c r="L770" i="2"/>
  <c r="H770" i="2"/>
  <c r="J770" i="2"/>
  <c r="N770" i="2"/>
  <c r="K770" i="2"/>
  <c r="G770" i="2"/>
  <c r="J804" i="2"/>
  <c r="O804" i="2"/>
  <c r="P804" i="2"/>
  <c r="L804" i="2"/>
  <c r="N831" i="2"/>
  <c r="J831" i="2"/>
  <c r="F831" i="2"/>
  <c r="Q831" i="2"/>
  <c r="M831" i="2"/>
  <c r="I831" i="2"/>
  <c r="P831" i="2"/>
  <c r="O831" i="2"/>
  <c r="G831" i="2"/>
  <c r="K831" i="2"/>
  <c r="F1074" i="2"/>
  <c r="N1074" i="2"/>
  <c r="I1074" i="2"/>
  <c r="P1077" i="2"/>
  <c r="L1077" i="2"/>
  <c r="H1077" i="2"/>
  <c r="M1077" i="2"/>
  <c r="G1077" i="2"/>
  <c r="Q1077" i="2"/>
  <c r="K1077" i="2"/>
  <c r="G1085" i="2"/>
  <c r="O1085" i="2"/>
  <c r="Q784" i="2"/>
  <c r="M784" i="2"/>
  <c r="I784" i="2"/>
  <c r="P784" i="2"/>
  <c r="L784" i="2"/>
  <c r="H784" i="2"/>
  <c r="N784" i="2"/>
  <c r="J784" i="2"/>
  <c r="O784" i="2"/>
  <c r="K784" i="2"/>
  <c r="N836" i="2"/>
  <c r="J836" i="2"/>
  <c r="I836" i="2"/>
  <c r="G836" i="2"/>
  <c r="K836" i="2"/>
  <c r="F1118" i="2"/>
  <c r="E175" i="2"/>
  <c r="I879" i="2"/>
  <c r="N879" i="2"/>
  <c r="P879" i="2"/>
  <c r="I881" i="2"/>
  <c r="N881" i="2"/>
  <c r="P881" i="2"/>
  <c r="O884" i="2"/>
  <c r="O886" i="2"/>
  <c r="O887" i="2"/>
  <c r="O889" i="2"/>
  <c r="K892" i="2"/>
  <c r="P925" i="2"/>
  <c r="I942" i="2"/>
  <c r="M942" i="2"/>
  <c r="Q942" i="2"/>
  <c r="P950" i="2"/>
  <c r="G952" i="2"/>
  <c r="G954" i="2"/>
  <c r="O954" i="2"/>
  <c r="L955" i="2"/>
  <c r="O955" i="2"/>
  <c r="K955" i="2"/>
  <c r="G955" i="2"/>
  <c r="N955" i="2"/>
  <c r="J955" i="2"/>
  <c r="H957" i="2"/>
  <c r="I961" i="2"/>
  <c r="N961" i="2"/>
  <c r="P961" i="2"/>
  <c r="G966" i="2"/>
  <c r="E428" i="2"/>
  <c r="E966" i="2" s="1"/>
  <c r="K966" i="2"/>
  <c r="O966" i="2"/>
  <c r="K975" i="2"/>
  <c r="K686" i="2"/>
  <c r="J982" i="2"/>
  <c r="P452" i="2"/>
  <c r="P990" i="2" s="1"/>
  <c r="G994" i="2"/>
  <c r="G996" i="2"/>
  <c r="G998" i="2"/>
  <c r="Q1001" i="2"/>
  <c r="M1001" i="2"/>
  <c r="I1001" i="2"/>
  <c r="P1001" i="2"/>
  <c r="L1001" i="2"/>
  <c r="H1001" i="2"/>
  <c r="K1003" i="2"/>
  <c r="F1006" i="2"/>
  <c r="Q1006" i="2"/>
  <c r="F1008" i="2"/>
  <c r="Q1008" i="2"/>
  <c r="N1010" i="2"/>
  <c r="H1013" i="2"/>
  <c r="P1013" i="2"/>
  <c r="I1015" i="2"/>
  <c r="Q1015" i="2"/>
  <c r="I1017" i="2"/>
  <c r="Q1017" i="2"/>
  <c r="K1022" i="2"/>
  <c r="J1023" i="2"/>
  <c r="H1025" i="2"/>
  <c r="P1025" i="2"/>
  <c r="P1026" i="2"/>
  <c r="I1027" i="2"/>
  <c r="N1027" i="2"/>
  <c r="P1027" i="2"/>
  <c r="K1029" i="2"/>
  <c r="Q1029" i="2"/>
  <c r="M1029" i="2"/>
  <c r="I1029" i="2"/>
  <c r="P1029" i="2"/>
  <c r="L1029" i="2"/>
  <c r="H1029" i="2"/>
  <c r="F1038" i="2"/>
  <c r="Q1038" i="2"/>
  <c r="N1040" i="2"/>
  <c r="G1042" i="2"/>
  <c r="K1043" i="2"/>
  <c r="Q1043" i="2"/>
  <c r="M1043" i="2"/>
  <c r="I1043" i="2"/>
  <c r="P1043" i="2"/>
  <c r="L1043" i="2"/>
  <c r="H1043" i="2"/>
  <c r="L1065" i="2"/>
  <c r="G1074" i="2"/>
  <c r="N1077" i="2"/>
  <c r="P1111" i="2"/>
  <c r="P697" i="2"/>
  <c r="I1085" i="2"/>
  <c r="I612" i="2"/>
  <c r="Q1085" i="2"/>
  <c r="Q612" i="2"/>
  <c r="O612" i="2"/>
  <c r="G612" i="2"/>
  <c r="M612" i="2"/>
  <c r="P813" i="2"/>
  <c r="H813" i="2"/>
  <c r="N813" i="2"/>
  <c r="F813" i="2"/>
  <c r="O813" i="2"/>
  <c r="G766" i="2"/>
  <c r="G879" i="2"/>
  <c r="K879" i="2"/>
  <c r="O879" i="2"/>
  <c r="G881" i="2"/>
  <c r="K881" i="2"/>
  <c r="O881" i="2"/>
  <c r="G885" i="2"/>
  <c r="K885" i="2"/>
  <c r="O885" i="2"/>
  <c r="G888" i="2"/>
  <c r="K888" i="2"/>
  <c r="O888" i="2"/>
  <c r="G890" i="2"/>
  <c r="K890" i="2"/>
  <c r="O890" i="2"/>
  <c r="G893" i="2"/>
  <c r="K893" i="2"/>
  <c r="O893" i="2"/>
  <c r="G940" i="2"/>
  <c r="K940" i="2"/>
  <c r="O940" i="2"/>
  <c r="G942" i="2"/>
  <c r="K942" i="2"/>
  <c r="O942" i="2"/>
  <c r="K943" i="2"/>
  <c r="O943" i="2"/>
  <c r="G945" i="2"/>
  <c r="K945" i="2"/>
  <c r="O945" i="2"/>
  <c r="G947" i="2"/>
  <c r="O947" i="2"/>
  <c r="G956" i="2"/>
  <c r="K956" i="2"/>
  <c r="O956" i="2"/>
  <c r="Q957" i="2"/>
  <c r="G959" i="2"/>
  <c r="K959" i="2"/>
  <c r="O959" i="2"/>
  <c r="G961" i="2"/>
  <c r="K961" i="2"/>
  <c r="O961" i="2"/>
  <c r="G965" i="2"/>
  <c r="K965" i="2"/>
  <c r="O965" i="2"/>
  <c r="I966" i="2"/>
  <c r="M966" i="2"/>
  <c r="Q966" i="2"/>
  <c r="G982" i="2"/>
  <c r="K982" i="2"/>
  <c r="O982" i="2"/>
  <c r="G988" i="2"/>
  <c r="K988" i="2"/>
  <c r="O988" i="2"/>
  <c r="G1002" i="2"/>
  <c r="K1002" i="2"/>
  <c r="O1002" i="2"/>
  <c r="G1006" i="2"/>
  <c r="K1006" i="2"/>
  <c r="O1006" i="2"/>
  <c r="G1008" i="2"/>
  <c r="K1008" i="2"/>
  <c r="O1008" i="2"/>
  <c r="G1011" i="2"/>
  <c r="K1011" i="2"/>
  <c r="O1011" i="2"/>
  <c r="G1024" i="2"/>
  <c r="K1024" i="2"/>
  <c r="O1024" i="2"/>
  <c r="G1027" i="2"/>
  <c r="K1027" i="2"/>
  <c r="O1027" i="2"/>
  <c r="G1038" i="2"/>
  <c r="K1038" i="2"/>
  <c r="O1038" i="2"/>
  <c r="G1044" i="2"/>
  <c r="K1044" i="2"/>
  <c r="O1044" i="2"/>
  <c r="Q1065" i="2"/>
  <c r="M1065" i="2"/>
  <c r="I1065" i="2"/>
  <c r="P1071" i="2"/>
  <c r="L1071" i="2"/>
  <c r="H1071" i="2"/>
  <c r="P1074" i="2"/>
  <c r="L1074" i="2"/>
  <c r="H1074" i="2"/>
  <c r="L1111" i="2"/>
  <c r="L697" i="2"/>
  <c r="K1085" i="2"/>
  <c r="K612" i="2"/>
  <c r="K804" i="2"/>
  <c r="G804" i="2"/>
  <c r="Q804" i="2"/>
  <c r="M804" i="2"/>
  <c r="I804" i="2"/>
  <c r="P807" i="2"/>
  <c r="L807" i="2"/>
  <c r="H807" i="2"/>
  <c r="Q807" i="2"/>
  <c r="J807" i="2"/>
  <c r="O807" i="2"/>
  <c r="K807" i="2"/>
  <c r="G807" i="2"/>
  <c r="M807" i="2"/>
  <c r="E701" i="2"/>
  <c r="E705" i="2"/>
  <c r="E709" i="2"/>
  <c r="E718" i="2"/>
  <c r="Q775" i="2"/>
  <c r="M775" i="2"/>
  <c r="I775" i="2"/>
  <c r="P775" i="2"/>
  <c r="L775" i="2"/>
  <c r="H775" i="2"/>
  <c r="N775" i="2"/>
  <c r="J775" i="2"/>
  <c r="I807" i="2"/>
  <c r="J813" i="2"/>
  <c r="Q813" i="2"/>
  <c r="L813" i="2"/>
  <c r="G813" i="2"/>
  <c r="K813" i="2"/>
  <c r="M813" i="2"/>
  <c r="L879" i="2"/>
  <c r="L881" i="2"/>
  <c r="H885" i="2"/>
  <c r="L885" i="2"/>
  <c r="H888" i="2"/>
  <c r="L888" i="2"/>
  <c r="H890" i="2"/>
  <c r="L890" i="2"/>
  <c r="H893" i="2"/>
  <c r="L893" i="2"/>
  <c r="H925" i="2"/>
  <c r="L925" i="2"/>
  <c r="H929" i="2"/>
  <c r="L929" i="2"/>
  <c r="H940" i="2"/>
  <c r="L940" i="2"/>
  <c r="H942" i="2"/>
  <c r="L942" i="2"/>
  <c r="P942" i="2"/>
  <c r="H943" i="2"/>
  <c r="L943" i="2"/>
  <c r="H945" i="2"/>
  <c r="L945" i="2"/>
  <c r="H947" i="2"/>
  <c r="L947" i="2"/>
  <c r="H950" i="2"/>
  <c r="L950" i="2"/>
  <c r="H956" i="2"/>
  <c r="L956" i="2"/>
  <c r="F957" i="2"/>
  <c r="J957" i="2"/>
  <c r="H958" i="2"/>
  <c r="L958" i="2"/>
  <c r="H959" i="2"/>
  <c r="L959" i="2"/>
  <c r="P959" i="2"/>
  <c r="L961" i="2"/>
  <c r="H965" i="2"/>
  <c r="L965" i="2"/>
  <c r="P965" i="2"/>
  <c r="F966" i="2"/>
  <c r="J966" i="2"/>
  <c r="N966" i="2"/>
  <c r="P819" i="2"/>
  <c r="O819" i="2"/>
  <c r="M819" i="2"/>
  <c r="J819" i="2"/>
  <c r="N819" i="2"/>
  <c r="H976" i="2"/>
  <c r="L976" i="2"/>
  <c r="H988" i="2"/>
  <c r="L988" i="2"/>
  <c r="H1002" i="2"/>
  <c r="L1002" i="2"/>
  <c r="H1005" i="2"/>
  <c r="L1005" i="2"/>
  <c r="L1006" i="2"/>
  <c r="L1008" i="2"/>
  <c r="H1010" i="2"/>
  <c r="L1010" i="2"/>
  <c r="H1011" i="2"/>
  <c r="L1011" i="2"/>
  <c r="H1024" i="2"/>
  <c r="L1024" i="2"/>
  <c r="H1026" i="2"/>
  <c r="L1026" i="2"/>
  <c r="L1027" i="2"/>
  <c r="H1036" i="2"/>
  <c r="L1036" i="2"/>
  <c r="L1038" i="2"/>
  <c r="H1040" i="2"/>
  <c r="L1040" i="2"/>
  <c r="H1044" i="2"/>
  <c r="L1044" i="2"/>
  <c r="P1044" i="2"/>
  <c r="J1065" i="2"/>
  <c r="O1065" i="2"/>
  <c r="J1071" i="2"/>
  <c r="O1071" i="2"/>
  <c r="J1074" i="2"/>
  <c r="O1074" i="2"/>
  <c r="M1085" i="2"/>
  <c r="F804" i="2"/>
  <c r="N804" i="2"/>
  <c r="N807" i="2"/>
  <c r="F809" i="2"/>
  <c r="N779" i="2"/>
  <c r="J779" i="2"/>
  <c r="Q779" i="2"/>
  <c r="M779" i="2"/>
  <c r="I779" i="2"/>
  <c r="K779" i="2"/>
  <c r="O779" i="2"/>
  <c r="G779" i="2"/>
  <c r="Q762" i="2"/>
  <c r="M762" i="2"/>
  <c r="I762" i="2"/>
  <c r="P762" i="2"/>
  <c r="L762" i="2"/>
  <c r="H762" i="2"/>
  <c r="J762" i="2"/>
  <c r="N762" i="2"/>
  <c r="G775" i="2"/>
  <c r="Q780" i="2"/>
  <c r="M780" i="2"/>
  <c r="I780" i="2"/>
  <c r="P780" i="2"/>
  <c r="L780" i="2"/>
  <c r="H780" i="2"/>
  <c r="J780" i="2"/>
  <c r="N780" i="2"/>
  <c r="I813" i="2"/>
  <c r="I819" i="2"/>
  <c r="E669" i="2"/>
  <c r="M871" i="2"/>
  <c r="Q871" i="2"/>
  <c r="F871" i="2"/>
  <c r="J871" i="2"/>
  <c r="K871" i="2"/>
  <c r="O871" i="2"/>
  <c r="E866" i="2"/>
  <c r="E1123" i="2"/>
  <c r="E1131" i="2"/>
  <c r="E1136" i="2"/>
  <c r="E1132" i="2"/>
  <c r="E1178" i="2"/>
  <c r="E1197" i="2"/>
  <c r="E1213" i="2"/>
  <c r="E1187" i="2"/>
  <c r="E1228" i="2"/>
  <c r="E1249" i="2"/>
  <c r="G76" i="3" l="1"/>
  <c r="G122" i="3" s="1"/>
  <c r="F122" i="3"/>
  <c r="M76" i="3"/>
  <c r="M122" i="3"/>
  <c r="E160" i="2"/>
  <c r="E101" i="2"/>
  <c r="E1207" i="2"/>
  <c r="E1195" i="2"/>
  <c r="E1177" i="2"/>
  <c r="E1179" i="2"/>
  <c r="E1147" i="2"/>
  <c r="E1139" i="2"/>
  <c r="E1156" i="2"/>
  <c r="E604" i="2"/>
  <c r="K819" i="2"/>
  <c r="M836" i="2"/>
  <c r="E140" i="2"/>
  <c r="E138" i="2"/>
  <c r="E136" i="2"/>
  <c r="E134" i="2"/>
  <c r="K330" i="2"/>
  <c r="E199" i="2"/>
  <c r="E105" i="2"/>
  <c r="O330" i="2"/>
  <c r="E144" i="2"/>
  <c r="E93" i="2"/>
  <c r="E84" i="2"/>
  <c r="E15" i="2"/>
  <c r="E12" i="2"/>
  <c r="E235" i="2"/>
  <c r="E80" i="2"/>
  <c r="P330" i="2"/>
  <c r="E89" i="2"/>
  <c r="I452" i="2"/>
  <c r="I990" i="2" s="1"/>
  <c r="E1255" i="2"/>
  <c r="E1231" i="2"/>
  <c r="E1225" i="2"/>
  <c r="E1206" i="2"/>
  <c r="E1182" i="2"/>
  <c r="E1234" i="2"/>
  <c r="E1175" i="2"/>
  <c r="E1166" i="2"/>
  <c r="E1190" i="2"/>
  <c r="E1185" i="2"/>
  <c r="E1149" i="2"/>
  <c r="E610" i="2"/>
  <c r="E450" i="2"/>
  <c r="E988" i="2" s="1"/>
  <c r="O836" i="2"/>
  <c r="E1248" i="2"/>
  <c r="E1203" i="2"/>
  <c r="E1191" i="2"/>
  <c r="E1189" i="2"/>
  <c r="E1160" i="2"/>
  <c r="E1155" i="2"/>
  <c r="E1124" i="2"/>
  <c r="E1194" i="2"/>
  <c r="E822" i="2"/>
  <c r="E616" i="2"/>
  <c r="E790" i="2" s="1"/>
  <c r="E168" i="2"/>
  <c r="H836" i="2"/>
  <c r="G330" i="2"/>
  <c r="E189" i="2"/>
  <c r="E174" i="2"/>
  <c r="E142" i="2"/>
  <c r="E349" i="2"/>
  <c r="E890" i="2" s="1"/>
  <c r="E187" i="2"/>
  <c r="E418" i="2"/>
  <c r="E956" i="2" s="1"/>
  <c r="G793" i="2"/>
  <c r="F1037" i="2"/>
  <c r="L1109" i="2"/>
  <c r="L695" i="2"/>
  <c r="F789" i="2"/>
  <c r="E804" i="2"/>
  <c r="G1091" i="2"/>
  <c r="G676" i="2"/>
  <c r="E1239" i="2"/>
  <c r="E1128" i="2"/>
  <c r="O768" i="2"/>
  <c r="K768" i="2"/>
  <c r="G768" i="2"/>
  <c r="N768" i="2"/>
  <c r="J768" i="2"/>
  <c r="L768" i="2"/>
  <c r="P768" i="2"/>
  <c r="H768" i="2"/>
  <c r="M768" i="2"/>
  <c r="I768" i="2"/>
  <c r="Q768" i="2"/>
  <c r="L1110" i="2"/>
  <c r="L696" i="2"/>
  <c r="H879" i="2"/>
  <c r="E338" i="2"/>
  <c r="E879" i="2" s="1"/>
  <c r="I1111" i="2"/>
  <c r="I697" i="2"/>
  <c r="N839" i="2"/>
  <c r="E725" i="2"/>
  <c r="I1110" i="2"/>
  <c r="I696" i="2"/>
  <c r="I1109" i="2"/>
  <c r="I695" i="2"/>
  <c r="F1104" i="2"/>
  <c r="F690" i="2"/>
  <c r="F1092" i="2"/>
  <c r="F677" i="2"/>
  <c r="H1090" i="2"/>
  <c r="H675" i="2"/>
  <c r="F1042" i="2"/>
  <c r="E504" i="2"/>
  <c r="E1042" i="2" s="1"/>
  <c r="O993" i="2"/>
  <c r="G975" i="2"/>
  <c r="G686" i="2"/>
  <c r="E232" i="2"/>
  <c r="E229" i="2"/>
  <c r="E516" i="2"/>
  <c r="Q835" i="2"/>
  <c r="M835" i="2"/>
  <c r="I835" i="2"/>
  <c r="P835" i="2"/>
  <c r="L835" i="2"/>
  <c r="H835" i="2"/>
  <c r="O835" i="2"/>
  <c r="G835" i="2"/>
  <c r="N835" i="2"/>
  <c r="F835" i="2"/>
  <c r="J835" i="2"/>
  <c r="K835" i="2"/>
  <c r="Q987" i="2"/>
  <c r="F983" i="2"/>
  <c r="E445" i="2"/>
  <c r="E983" i="2" s="1"/>
  <c r="Q452" i="2"/>
  <c r="Q990" i="2" s="1"/>
  <c r="M878" i="2"/>
  <c r="E23" i="2"/>
  <c r="K1028" i="2"/>
  <c r="N1028" i="2"/>
  <c r="F1014" i="2"/>
  <c r="E476" i="2"/>
  <c r="E1014" i="2" s="1"/>
  <c r="L330" i="2"/>
  <c r="E102" i="2"/>
  <c r="E737" i="2"/>
  <c r="E767" i="2" s="1"/>
  <c r="F767" i="2"/>
  <c r="Q1035" i="2"/>
  <c r="O1007" i="2"/>
  <c r="N1007" i="2"/>
  <c r="P999" i="2"/>
  <c r="H882" i="2"/>
  <c r="O1039" i="2"/>
  <c r="N1039" i="2"/>
  <c r="P1022" i="2"/>
  <c r="G1003" i="2"/>
  <c r="O987" i="2"/>
  <c r="J939" i="2"/>
  <c r="F887" i="2"/>
  <c r="E346" i="2"/>
  <c r="E887" i="2" s="1"/>
  <c r="E133" i="2"/>
  <c r="E56" i="2"/>
  <c r="E412" i="2"/>
  <c r="E950" i="2" s="1"/>
  <c r="F948" i="2"/>
  <c r="E410" i="2"/>
  <c r="E948" i="2" s="1"/>
  <c r="P897" i="2"/>
  <c r="E186" i="2"/>
  <c r="H1039" i="2"/>
  <c r="P972" i="2"/>
  <c r="F927" i="2"/>
  <c r="E386" i="2"/>
  <c r="E927" i="2" s="1"/>
  <c r="E132" i="2"/>
  <c r="E1252" i="2"/>
  <c r="E1229" i="2"/>
  <c r="E1243" i="2"/>
  <c r="E1230" i="2"/>
  <c r="E1163" i="2"/>
  <c r="E1152" i="2"/>
  <c r="E1126" i="2"/>
  <c r="E1232" i="2"/>
  <c r="E1157" i="2"/>
  <c r="E1141" i="2"/>
  <c r="E703" i="2"/>
  <c r="F1085" i="2"/>
  <c r="F612" i="2"/>
  <c r="E609" i="2"/>
  <c r="N1111" i="2"/>
  <c r="N697" i="2"/>
  <c r="N1110" i="2"/>
  <c r="N696" i="2"/>
  <c r="P1110" i="2"/>
  <c r="P696" i="2"/>
  <c r="H1027" i="2"/>
  <c r="E489" i="2"/>
  <c r="E1027" i="2" s="1"/>
  <c r="H982" i="2"/>
  <c r="H452" i="2"/>
  <c r="H990" i="2" s="1"/>
  <c r="H961" i="2"/>
  <c r="E423" i="2"/>
  <c r="E961" i="2" s="1"/>
  <c r="L878" i="2"/>
  <c r="G777" i="2"/>
  <c r="E624" i="2"/>
  <c r="E798" i="2" s="1"/>
  <c r="O786" i="2"/>
  <c r="K786" i="2"/>
  <c r="G786" i="2"/>
  <c r="N786" i="2"/>
  <c r="J786" i="2"/>
  <c r="L786" i="2"/>
  <c r="P786" i="2"/>
  <c r="H786" i="2"/>
  <c r="M786" i="2"/>
  <c r="I786" i="2"/>
  <c r="Q786" i="2"/>
  <c r="J1109" i="2"/>
  <c r="J695" i="2"/>
  <c r="F1087" i="2"/>
  <c r="F672" i="2"/>
  <c r="F1010" i="2"/>
  <c r="E472" i="2"/>
  <c r="E1010" i="2" s="1"/>
  <c r="P987" i="2"/>
  <c r="I975" i="2"/>
  <c r="I686" i="2"/>
  <c r="E321" i="2"/>
  <c r="F784" i="2"/>
  <c r="E754" i="2"/>
  <c r="E784" i="2" s="1"/>
  <c r="Q1110" i="2"/>
  <c r="Q696" i="2"/>
  <c r="M1109" i="2"/>
  <c r="M695" i="2"/>
  <c r="G1090" i="2"/>
  <c r="G675" i="2"/>
  <c r="E526" i="2"/>
  <c r="F1030" i="2"/>
  <c r="E492" i="2"/>
  <c r="E1030" i="2" s="1"/>
  <c r="N993" i="2"/>
  <c r="F918" i="2"/>
  <c r="E377" i="2"/>
  <c r="E918" i="2" s="1"/>
  <c r="E517" i="2"/>
  <c r="E513" i="2"/>
  <c r="E505" i="2"/>
  <c r="E1043" i="2" s="1"/>
  <c r="F1013" i="2"/>
  <c r="E475" i="2"/>
  <c r="E1013" i="2" s="1"/>
  <c r="F1012" i="2"/>
  <c r="E474" i="2"/>
  <c r="E1012" i="2" s="1"/>
  <c r="P832" i="2"/>
  <c r="L832" i="2"/>
  <c r="H832" i="2"/>
  <c r="O832" i="2"/>
  <c r="K832" i="2"/>
  <c r="G832" i="2"/>
  <c r="J832" i="2"/>
  <c r="Q832" i="2"/>
  <c r="I832" i="2"/>
  <c r="M832" i="2"/>
  <c r="N832" i="2"/>
  <c r="F832" i="2"/>
  <c r="L1035" i="2"/>
  <c r="O843" i="2"/>
  <c r="K843" i="2"/>
  <c r="G843" i="2"/>
  <c r="N843" i="2"/>
  <c r="J843" i="2"/>
  <c r="F843" i="2"/>
  <c r="Q843" i="2"/>
  <c r="I843" i="2"/>
  <c r="P843" i="2"/>
  <c r="H843" i="2"/>
  <c r="L843" i="2"/>
  <c r="M843" i="2"/>
  <c r="O983" i="2"/>
  <c r="O452" i="2"/>
  <c r="O990" i="2" s="1"/>
  <c r="O972" i="2"/>
  <c r="K946" i="2"/>
  <c r="L892" i="2"/>
  <c r="I882" i="2"/>
  <c r="G878" i="2"/>
  <c r="E193" i="2"/>
  <c r="E145" i="2"/>
  <c r="E28" i="2"/>
  <c r="Q1028" i="2"/>
  <c r="I973" i="2"/>
  <c r="H963" i="2"/>
  <c r="F962" i="2"/>
  <c r="E424" i="2"/>
  <c r="E962" i="2" s="1"/>
  <c r="F946" i="2"/>
  <c r="E408" i="2"/>
  <c r="E946" i="2" s="1"/>
  <c r="F924" i="2"/>
  <c r="E383" i="2"/>
  <c r="E924" i="2" s="1"/>
  <c r="M886" i="2"/>
  <c r="N330" i="2"/>
  <c r="E131" i="2"/>
  <c r="E90" i="2"/>
  <c r="H1035" i="2"/>
  <c r="O1035" i="2"/>
  <c r="K1007" i="2"/>
  <c r="F1001" i="2"/>
  <c r="E463" i="2"/>
  <c r="E1001" i="2" s="1"/>
  <c r="M963" i="2"/>
  <c r="F1072" i="2"/>
  <c r="E559" i="2"/>
  <c r="E1072" i="2" s="1"/>
  <c r="F1071" i="2"/>
  <c r="E558" i="2"/>
  <c r="E1071" i="2" s="1"/>
  <c r="L1022" i="2"/>
  <c r="I1003" i="2"/>
  <c r="L993" i="2"/>
  <c r="G970" i="2"/>
  <c r="J970" i="2"/>
  <c r="I941" i="2"/>
  <c r="O939" i="2"/>
  <c r="I897" i="2"/>
  <c r="F897" i="2"/>
  <c r="E356" i="2"/>
  <c r="E897" i="2" s="1"/>
  <c r="L889" i="2"/>
  <c r="E161" i="2"/>
  <c r="E128" i="2"/>
  <c r="E72" i="2"/>
  <c r="G1000" i="2"/>
  <c r="F998" i="2"/>
  <c r="E460" i="2"/>
  <c r="E998" i="2" s="1"/>
  <c r="L964" i="2"/>
  <c r="E402" i="2"/>
  <c r="E940" i="2" s="1"/>
  <c r="E95" i="2"/>
  <c r="H1012" i="2"/>
  <c r="J972" i="2"/>
  <c r="K889" i="2"/>
  <c r="G886" i="2"/>
  <c r="E1261" i="2"/>
  <c r="E1253" i="2"/>
  <c r="E1236" i="2"/>
  <c r="E1223" i="2"/>
  <c r="E1205" i="2"/>
  <c r="E1254" i="2"/>
  <c r="E1250" i="2"/>
  <c r="E1235" i="2"/>
  <c r="E1186" i="2"/>
  <c r="E1133" i="2"/>
  <c r="E706" i="2"/>
  <c r="O764" i="2"/>
  <c r="K764" i="2"/>
  <c r="G764" i="2"/>
  <c r="N764" i="2"/>
  <c r="J764" i="2"/>
  <c r="P764" i="2"/>
  <c r="H764" i="2"/>
  <c r="L764" i="2"/>
  <c r="Q764" i="2"/>
  <c r="M764" i="2"/>
  <c r="I764" i="2"/>
  <c r="E823" i="2"/>
  <c r="Q812" i="2"/>
  <c r="M812" i="2"/>
  <c r="I812" i="2"/>
  <c r="P812" i="2"/>
  <c r="K812" i="2"/>
  <c r="F812" i="2"/>
  <c r="O812" i="2"/>
  <c r="J812" i="2"/>
  <c r="G812" i="2"/>
  <c r="L812" i="2"/>
  <c r="N812" i="2"/>
  <c r="H812" i="2"/>
  <c r="E619" i="2"/>
  <c r="E793" i="2" s="1"/>
  <c r="H1085" i="2"/>
  <c r="H612" i="2"/>
  <c r="J1085" i="2"/>
  <c r="J612" i="2"/>
  <c r="F1111" i="2"/>
  <c r="E598" i="2"/>
  <c r="F697" i="2"/>
  <c r="G1087" i="2"/>
  <c r="G672" i="2"/>
  <c r="G819" i="2"/>
  <c r="L819" i="2"/>
  <c r="H939" i="2"/>
  <c r="H881" i="2"/>
  <c r="E340" i="2"/>
  <c r="E881" i="2" s="1"/>
  <c r="H878" i="2"/>
  <c r="E717" i="2"/>
  <c r="N765" i="2"/>
  <c r="J765" i="2"/>
  <c r="Q765" i="2"/>
  <c r="M765" i="2"/>
  <c r="I765" i="2"/>
  <c r="O765" i="2"/>
  <c r="G765" i="2"/>
  <c r="K765" i="2"/>
  <c r="P765" i="2"/>
  <c r="L765" i="2"/>
  <c r="H765" i="2"/>
  <c r="E700" i="2"/>
  <c r="E629" i="2"/>
  <c r="E799" i="2" s="1"/>
  <c r="F807" i="2"/>
  <c r="K1111" i="2"/>
  <c r="K697" i="2"/>
  <c r="Q1111" i="2"/>
  <c r="Q697" i="2"/>
  <c r="F1103" i="2"/>
  <c r="F689" i="2"/>
  <c r="F1094" i="2"/>
  <c r="F679" i="2"/>
  <c r="Q1018" i="2"/>
  <c r="M1018" i="2"/>
  <c r="I1018" i="2"/>
  <c r="P1018" i="2"/>
  <c r="L1018" i="2"/>
  <c r="H1018" i="2"/>
  <c r="N1018" i="2"/>
  <c r="J1018" i="2"/>
  <c r="O1018" i="2"/>
  <c r="G1018" i="2"/>
  <c r="K1018" i="2"/>
  <c r="P816" i="2"/>
  <c r="L816" i="2"/>
  <c r="H816" i="2"/>
  <c r="N816" i="2"/>
  <c r="I816" i="2"/>
  <c r="M816" i="2"/>
  <c r="G816" i="2"/>
  <c r="O816" i="2"/>
  <c r="J816" i="2"/>
  <c r="Q816" i="2"/>
  <c r="K816" i="2"/>
  <c r="F816" i="2"/>
  <c r="M957" i="2"/>
  <c r="N842" i="2"/>
  <c r="J842" i="2"/>
  <c r="F842" i="2"/>
  <c r="Q842" i="2"/>
  <c r="M842" i="2"/>
  <c r="I842" i="2"/>
  <c r="P842" i="2"/>
  <c r="H842" i="2"/>
  <c r="O842" i="2"/>
  <c r="G842" i="2"/>
  <c r="K842" i="2"/>
  <c r="L842" i="2"/>
  <c r="F785" i="2"/>
  <c r="E755" i="2"/>
  <c r="E785" i="2" s="1"/>
  <c r="E711" i="2"/>
  <c r="E630" i="2"/>
  <c r="E800" i="2" s="1"/>
  <c r="E614" i="2"/>
  <c r="E788" i="2" s="1"/>
  <c r="F1098" i="2"/>
  <c r="F683" i="2"/>
  <c r="G1094" i="2"/>
  <c r="G679" i="2"/>
  <c r="P1030" i="2"/>
  <c r="E486" i="2"/>
  <c r="E1024" i="2" s="1"/>
  <c r="I1012" i="2"/>
  <c r="H987" i="2"/>
  <c r="L975" i="2"/>
  <c r="L686" i="2"/>
  <c r="M975" i="2"/>
  <c r="M686" i="2"/>
  <c r="L836" i="2"/>
  <c r="Q836" i="2"/>
  <c r="K1110" i="2"/>
  <c r="K696" i="2"/>
  <c r="H1109" i="2"/>
  <c r="H695" i="2"/>
  <c r="Q1109" i="2"/>
  <c r="Q695" i="2"/>
  <c r="F1077" i="2"/>
  <c r="E564" i="2"/>
  <c r="E1077" i="2" s="1"/>
  <c r="E529" i="2"/>
  <c r="E617" i="2"/>
  <c r="E791" i="2" s="1"/>
  <c r="F1090" i="2"/>
  <c r="F675" i="2"/>
  <c r="M1042" i="2"/>
  <c r="N1042" i="2"/>
  <c r="J1030" i="2"/>
  <c r="O1030" i="2"/>
  <c r="L1013" i="2"/>
  <c r="M1012" i="2"/>
  <c r="F999" i="2"/>
  <c r="E461" i="2"/>
  <c r="E999" i="2" s="1"/>
  <c r="K999" i="2"/>
  <c r="G993" i="2"/>
  <c r="M452" i="2"/>
  <c r="M990" i="2" s="1"/>
  <c r="O818" i="2"/>
  <c r="K818" i="2"/>
  <c r="G818" i="2"/>
  <c r="N818" i="2"/>
  <c r="J818" i="2"/>
  <c r="F818" i="2"/>
  <c r="L818" i="2"/>
  <c r="Q818" i="2"/>
  <c r="I818" i="2"/>
  <c r="M818" i="2"/>
  <c r="P818" i="2"/>
  <c r="H818" i="2"/>
  <c r="O957" i="2"/>
  <c r="E185" i="2"/>
  <c r="E1214" i="2"/>
  <c r="G632" i="2"/>
  <c r="G634" i="2" s="1"/>
  <c r="E518" i="2"/>
  <c r="E514" i="2"/>
  <c r="E491" i="2"/>
  <c r="E1029" i="2" s="1"/>
  <c r="M1025" i="2"/>
  <c r="J1025" i="2"/>
  <c r="N1015" i="2"/>
  <c r="I1013" i="2"/>
  <c r="J1013" i="2"/>
  <c r="J1012" i="2"/>
  <c r="O1012" i="2"/>
  <c r="I987" i="2"/>
  <c r="F987" i="2"/>
  <c r="E449" i="2"/>
  <c r="E987" i="2" s="1"/>
  <c r="M1030" i="2"/>
  <c r="O1009" i="2"/>
  <c r="Q1009" i="2"/>
  <c r="N1009" i="2"/>
  <c r="Q827" i="2"/>
  <c r="M827" i="2"/>
  <c r="I827" i="2"/>
  <c r="P827" i="2"/>
  <c r="L827" i="2"/>
  <c r="H827" i="2"/>
  <c r="K827" i="2"/>
  <c r="J827" i="2"/>
  <c r="N827" i="2"/>
  <c r="F827" i="2"/>
  <c r="O827" i="2"/>
  <c r="G827" i="2"/>
  <c r="E444" i="2"/>
  <c r="E982" i="2" s="1"/>
  <c r="H970" i="2"/>
  <c r="F969" i="2"/>
  <c r="E431" i="2"/>
  <c r="E969" i="2" s="1"/>
  <c r="I964" i="2"/>
  <c r="F964" i="2"/>
  <c r="E426" i="2"/>
  <c r="E964" i="2" s="1"/>
  <c r="L960" i="2"/>
  <c r="H897" i="2"/>
  <c r="I892" i="2"/>
  <c r="F892" i="2"/>
  <c r="E351" i="2"/>
  <c r="E892" i="2" s="1"/>
  <c r="G889" i="2"/>
  <c r="K882" i="2"/>
  <c r="M882" i="2"/>
  <c r="J882" i="2"/>
  <c r="I878" i="2"/>
  <c r="K878" i="2"/>
  <c r="G164" i="2"/>
  <c r="G944" i="2"/>
  <c r="H1028" i="2"/>
  <c r="O1028" i="2"/>
  <c r="F1028" i="2"/>
  <c r="E490" i="2"/>
  <c r="E1028" i="2" s="1"/>
  <c r="E437" i="2"/>
  <c r="M973" i="2"/>
  <c r="N973" i="2"/>
  <c r="O960" i="2"/>
  <c r="M955" i="2"/>
  <c r="I952" i="2"/>
  <c r="F952" i="2"/>
  <c r="E414" i="2"/>
  <c r="E952" i="2" s="1"/>
  <c r="L946" i="2"/>
  <c r="M946" i="2"/>
  <c r="J946" i="2"/>
  <c r="O941" i="2"/>
  <c r="E347" i="2"/>
  <c r="E888" i="2" s="1"/>
  <c r="P886" i="2"/>
  <c r="Q886" i="2"/>
  <c r="L882" i="2"/>
  <c r="J330" i="2"/>
  <c r="I330" i="2"/>
  <c r="E195" i="2"/>
  <c r="E157" i="2"/>
  <c r="E152" i="2"/>
  <c r="E127" i="2"/>
  <c r="E88" i="2"/>
  <c r="P1035" i="2"/>
  <c r="I1035" i="2"/>
  <c r="F1035" i="2"/>
  <c r="E497" i="2"/>
  <c r="E1035" i="2" s="1"/>
  <c r="L1007" i="2"/>
  <c r="I1007" i="2"/>
  <c r="F1007" i="2"/>
  <c r="E469" i="2"/>
  <c r="E1007" i="2" s="1"/>
  <c r="L999" i="2"/>
  <c r="P966" i="2"/>
  <c r="G963" i="2"/>
  <c r="Q963" i="2"/>
  <c r="E126" i="2"/>
  <c r="L1039" i="2"/>
  <c r="I1039" i="2"/>
  <c r="F1039" i="2"/>
  <c r="E501" i="2"/>
  <c r="E1039" i="2" s="1"/>
  <c r="O1022" i="2"/>
  <c r="I1022" i="2"/>
  <c r="J1022" i="2"/>
  <c r="P1012" i="2"/>
  <c r="H1003" i="2"/>
  <c r="M1003" i="2"/>
  <c r="N1003" i="2"/>
  <c r="I993" i="2"/>
  <c r="H993" i="2"/>
  <c r="F976" i="2"/>
  <c r="E438" i="2"/>
  <c r="E976" i="2" s="1"/>
  <c r="O970" i="2"/>
  <c r="Q970" i="2"/>
  <c r="N970" i="2"/>
  <c r="G967" i="2"/>
  <c r="L941" i="2"/>
  <c r="M941" i="2"/>
  <c r="J941" i="2"/>
  <c r="N939" i="2"/>
  <c r="Q897" i="2"/>
  <c r="J897" i="2"/>
  <c r="O897" i="2"/>
  <c r="E352" i="2"/>
  <c r="E893" i="2" s="1"/>
  <c r="H891" i="2"/>
  <c r="M891" i="2"/>
  <c r="N891" i="2"/>
  <c r="I889" i="2"/>
  <c r="F889" i="2"/>
  <c r="E348" i="2"/>
  <c r="E889" i="2" s="1"/>
  <c r="P887" i="2"/>
  <c r="Q887" i="2"/>
  <c r="N887" i="2"/>
  <c r="E234" i="2"/>
  <c r="O1004" i="2"/>
  <c r="I1004" i="2"/>
  <c r="F1004" i="2"/>
  <c r="E466" i="2"/>
  <c r="E1004" i="2" s="1"/>
  <c r="H1000" i="2"/>
  <c r="O1000" i="2"/>
  <c r="F1000" i="2"/>
  <c r="E462" i="2"/>
  <c r="E1000" i="2" s="1"/>
  <c r="F994" i="2"/>
  <c r="E456" i="2"/>
  <c r="E994" i="2" s="1"/>
  <c r="N452" i="2"/>
  <c r="N990" i="2" s="1"/>
  <c r="G972" i="2"/>
  <c r="E416" i="2"/>
  <c r="E954" i="2" s="1"/>
  <c r="L948" i="2"/>
  <c r="M948" i="2"/>
  <c r="N948" i="2"/>
  <c r="F930" i="2"/>
  <c r="E389" i="2"/>
  <c r="E930" i="2" s="1"/>
  <c r="L884" i="2"/>
  <c r="E337" i="2"/>
  <c r="E878" i="2" s="1"/>
  <c r="E75" i="2"/>
  <c r="E71" i="2"/>
  <c r="E467" i="2"/>
  <c r="E1005" i="2" s="1"/>
  <c r="I995" i="2"/>
  <c r="H995" i="2"/>
  <c r="L972" i="2"/>
  <c r="M972" i="2"/>
  <c r="N972" i="2"/>
  <c r="H964" i="2"/>
  <c r="F917" i="2"/>
  <c r="E376" i="2"/>
  <c r="E917" i="2" s="1"/>
  <c r="K887" i="2"/>
  <c r="E151" i="2"/>
  <c r="E91" i="2"/>
  <c r="E16" i="2"/>
  <c r="G928" i="2"/>
  <c r="G946" i="2"/>
  <c r="E1237" i="2"/>
  <c r="P811" i="2"/>
  <c r="L811" i="2"/>
  <c r="H811" i="2"/>
  <c r="O811" i="2"/>
  <c r="J811" i="2"/>
  <c r="N811" i="2"/>
  <c r="I811" i="2"/>
  <c r="K811" i="2"/>
  <c r="Q811" i="2"/>
  <c r="F811" i="2"/>
  <c r="M811" i="2"/>
  <c r="G811" i="2"/>
  <c r="O810" i="2"/>
  <c r="K810" i="2"/>
  <c r="G810" i="2"/>
  <c r="N810" i="2"/>
  <c r="I810" i="2"/>
  <c r="M810" i="2"/>
  <c r="H810" i="2"/>
  <c r="P810" i="2"/>
  <c r="J810" i="2"/>
  <c r="L810" i="2"/>
  <c r="F810" i="2"/>
  <c r="Q810" i="2"/>
  <c r="G848" i="2"/>
  <c r="G856" i="2" s="1"/>
  <c r="E732" i="2"/>
  <c r="E762" i="2" s="1"/>
  <c r="F762" i="2"/>
  <c r="P1085" i="2"/>
  <c r="P612" i="2"/>
  <c r="J1110" i="2"/>
  <c r="J696" i="2"/>
  <c r="G688" i="2"/>
  <c r="Q830" i="2"/>
  <c r="M830" i="2"/>
  <c r="I830" i="2"/>
  <c r="P830" i="2"/>
  <c r="L830" i="2"/>
  <c r="H830" i="2"/>
  <c r="O830" i="2"/>
  <c r="G830" i="2"/>
  <c r="N830" i="2"/>
  <c r="F830" i="2"/>
  <c r="J830" i="2"/>
  <c r="K830" i="2"/>
  <c r="P829" i="2"/>
  <c r="L829" i="2"/>
  <c r="H829" i="2"/>
  <c r="O829" i="2"/>
  <c r="K829" i="2"/>
  <c r="G829" i="2"/>
  <c r="N829" i="2"/>
  <c r="F829" i="2"/>
  <c r="M829" i="2"/>
  <c r="Q829" i="2"/>
  <c r="I829" i="2"/>
  <c r="J829" i="2"/>
  <c r="L982" i="2"/>
  <c r="L452" i="2"/>
  <c r="L990" i="2" s="1"/>
  <c r="F775" i="2"/>
  <c r="E745" i="2"/>
  <c r="E775" i="2" s="1"/>
  <c r="O1110" i="2"/>
  <c r="O696" i="2"/>
  <c r="F759" i="2"/>
  <c r="N1109" i="2"/>
  <c r="N695" i="2"/>
  <c r="K1109" i="2"/>
  <c r="K695" i="2"/>
  <c r="G1104" i="2"/>
  <c r="G690" i="2"/>
  <c r="H1096" i="2"/>
  <c r="H681" i="2"/>
  <c r="G1092" i="2"/>
  <c r="G677" i="2"/>
  <c r="N833" i="2"/>
  <c r="J833" i="2"/>
  <c r="F833" i="2"/>
  <c r="Q833" i="2"/>
  <c r="M833" i="2"/>
  <c r="I833" i="2"/>
  <c r="L833" i="2"/>
  <c r="K833" i="2"/>
  <c r="G833" i="2"/>
  <c r="O833" i="2"/>
  <c r="H833" i="2"/>
  <c r="P833" i="2"/>
  <c r="F995" i="2"/>
  <c r="E457" i="2"/>
  <c r="E995" i="2" s="1"/>
  <c r="J993" i="2"/>
  <c r="O782" i="2"/>
  <c r="K782" i="2"/>
  <c r="G782" i="2"/>
  <c r="N782" i="2"/>
  <c r="J782" i="2"/>
  <c r="P782" i="2"/>
  <c r="H782" i="2"/>
  <c r="L782" i="2"/>
  <c r="Q782" i="2"/>
  <c r="M782" i="2"/>
  <c r="I782" i="2"/>
  <c r="O806" i="2"/>
  <c r="K806" i="2"/>
  <c r="G806" i="2"/>
  <c r="P806" i="2"/>
  <c r="J806" i="2"/>
  <c r="N806" i="2"/>
  <c r="I806" i="2"/>
  <c r="L806" i="2"/>
  <c r="Q806" i="2"/>
  <c r="F806" i="2"/>
  <c r="H806" i="2"/>
  <c r="M806" i="2"/>
  <c r="E520" i="2"/>
  <c r="I1030" i="2"/>
  <c r="F1015" i="2"/>
  <c r="E477" i="2"/>
  <c r="E1015" i="2" s="1"/>
  <c r="N987" i="2"/>
  <c r="F1021" i="2"/>
  <c r="E483" i="2"/>
  <c r="E1021" i="2" s="1"/>
  <c r="F1009" i="2"/>
  <c r="E471" i="2"/>
  <c r="E1009" i="2" s="1"/>
  <c r="K983" i="2"/>
  <c r="K452" i="2"/>
  <c r="K990" i="2" s="1"/>
  <c r="F974" i="2"/>
  <c r="E436" i="2"/>
  <c r="E974" i="2" s="1"/>
  <c r="M1028" i="2"/>
  <c r="F973" i="2"/>
  <c r="E435" i="2"/>
  <c r="E973" i="2" s="1"/>
  <c r="P946" i="2"/>
  <c r="F330" i="2"/>
  <c r="E320" i="2"/>
  <c r="Q330" i="2"/>
  <c r="G1105" i="2"/>
  <c r="G691" i="2"/>
  <c r="G1035" i="2"/>
  <c r="N1035" i="2"/>
  <c r="Q1007" i="2"/>
  <c r="I999" i="2"/>
  <c r="E130" i="2"/>
  <c r="Q1039" i="2"/>
  <c r="Q1022" i="2"/>
  <c r="L1003" i="2"/>
  <c r="F1003" i="2"/>
  <c r="E465" i="2"/>
  <c r="E1003" i="2" s="1"/>
  <c r="K972" i="2"/>
  <c r="F970" i="2"/>
  <c r="E432" i="2"/>
  <c r="E970" i="2" s="1"/>
  <c r="K939" i="2"/>
  <c r="F891" i="2"/>
  <c r="E350" i="2"/>
  <c r="E891" i="2" s="1"/>
  <c r="E100" i="2"/>
  <c r="E167" i="2"/>
  <c r="G987" i="2"/>
  <c r="F972" i="2"/>
  <c r="E434" i="2"/>
  <c r="E972" i="2" s="1"/>
  <c r="E190" i="2"/>
  <c r="E143" i="2"/>
  <c r="G1096" i="2"/>
  <c r="G681" i="2"/>
  <c r="E1201" i="2"/>
  <c r="E1193" i="2"/>
  <c r="E1148" i="2"/>
  <c r="E1251" i="2"/>
  <c r="E1221" i="2"/>
  <c r="E1181" i="2"/>
  <c r="E1202" i="2"/>
  <c r="E1150" i="2"/>
  <c r="E871" i="2"/>
  <c r="B869" i="2"/>
  <c r="F780" i="2"/>
  <c r="E750" i="2"/>
  <c r="E780" i="2" s="1"/>
  <c r="E654" i="2"/>
  <c r="E615" i="2"/>
  <c r="E789" i="2" s="1"/>
  <c r="G692" i="2"/>
  <c r="G415" i="2"/>
  <c r="H819" i="2"/>
  <c r="L939" i="2"/>
  <c r="E824" i="2"/>
  <c r="E813" i="2"/>
  <c r="F800" i="2"/>
  <c r="G1111" i="2"/>
  <c r="G697" i="2"/>
  <c r="M1111" i="2"/>
  <c r="M697" i="2"/>
  <c r="P834" i="2"/>
  <c r="L834" i="2"/>
  <c r="H834" i="2"/>
  <c r="O834" i="2"/>
  <c r="K834" i="2"/>
  <c r="G834" i="2"/>
  <c r="N834" i="2"/>
  <c r="F834" i="2"/>
  <c r="M834" i="2"/>
  <c r="I834" i="2"/>
  <c r="Q834" i="2"/>
  <c r="J834" i="2"/>
  <c r="O828" i="2"/>
  <c r="K828" i="2"/>
  <c r="G828" i="2"/>
  <c r="N828" i="2"/>
  <c r="J828" i="2"/>
  <c r="F828" i="2"/>
  <c r="M828" i="2"/>
  <c r="L828" i="2"/>
  <c r="P828" i="2"/>
  <c r="H828" i="2"/>
  <c r="I828" i="2"/>
  <c r="Q828" i="2"/>
  <c r="E523" i="2"/>
  <c r="P841" i="2"/>
  <c r="L841" i="2"/>
  <c r="H841" i="2"/>
  <c r="O841" i="2"/>
  <c r="K841" i="2"/>
  <c r="G841" i="2"/>
  <c r="N841" i="2"/>
  <c r="F841" i="2"/>
  <c r="M841" i="2"/>
  <c r="Q841" i="2"/>
  <c r="I841" i="2"/>
  <c r="J841" i="2"/>
  <c r="O838" i="2"/>
  <c r="Q1012" i="2"/>
  <c r="H975" i="2"/>
  <c r="H686" i="2"/>
  <c r="O1109" i="2"/>
  <c r="O695" i="2"/>
  <c r="E561" i="2"/>
  <c r="E1074" i="2" s="1"/>
  <c r="E528" i="2"/>
  <c r="G847" i="2"/>
  <c r="G792" i="2" s="1"/>
  <c r="F847" i="2"/>
  <c r="E524" i="2"/>
  <c r="K1030" i="2"/>
  <c r="F1023" i="2"/>
  <c r="E485" i="2"/>
  <c r="E1023" i="2" s="1"/>
  <c r="G999" i="2"/>
  <c r="N817" i="2"/>
  <c r="J817" i="2"/>
  <c r="Q817" i="2"/>
  <c r="M817" i="2"/>
  <c r="I817" i="2"/>
  <c r="K817" i="2"/>
  <c r="P817" i="2"/>
  <c r="H817" i="2"/>
  <c r="L817" i="2"/>
  <c r="F817" i="2"/>
  <c r="G817" i="2"/>
  <c r="O817" i="2"/>
  <c r="G957" i="2"/>
  <c r="E196" i="2"/>
  <c r="E552" i="2"/>
  <c r="E1065" i="2" s="1"/>
  <c r="E521" i="2"/>
  <c r="F1025" i="2"/>
  <c r="E487" i="2"/>
  <c r="E1025" i="2" s="1"/>
  <c r="K1012" i="2"/>
  <c r="F1016" i="2"/>
  <c r="E478" i="2"/>
  <c r="E1016" i="2" s="1"/>
  <c r="E458" i="2"/>
  <c r="E996" i="2" s="1"/>
  <c r="F882" i="2"/>
  <c r="E341" i="2"/>
  <c r="E882" i="2" s="1"/>
  <c r="E323" i="2"/>
  <c r="E191" i="2"/>
  <c r="E150" i="2"/>
  <c r="E125" i="2"/>
  <c r="E9" i="2"/>
  <c r="G1028" i="2"/>
  <c r="L973" i="2"/>
  <c r="J973" i="2"/>
  <c r="L957" i="2"/>
  <c r="I946" i="2"/>
  <c r="H886" i="2"/>
  <c r="N886" i="2"/>
  <c r="Q999" i="2"/>
  <c r="O973" i="2"/>
  <c r="N963" i="2"/>
  <c r="E407" i="2"/>
  <c r="E945" i="2" s="1"/>
  <c r="E384" i="2"/>
  <c r="E925" i="2" s="1"/>
  <c r="K1039" i="2"/>
  <c r="G1022" i="2"/>
  <c r="F1022" i="2"/>
  <c r="E484" i="2"/>
  <c r="E1022" i="2" s="1"/>
  <c r="O1003" i="2"/>
  <c r="J1003" i="2"/>
  <c r="M970" i="2"/>
  <c r="F941" i="2"/>
  <c r="E403" i="2"/>
  <c r="E941" i="2" s="1"/>
  <c r="F939" i="2"/>
  <c r="E401" i="2"/>
  <c r="E939" i="2" s="1"/>
  <c r="K897" i="2"/>
  <c r="E158" i="2"/>
  <c r="E49" i="2"/>
  <c r="Q1000" i="2"/>
  <c r="E188" i="2"/>
  <c r="E94" i="2"/>
  <c r="F1026" i="2"/>
  <c r="E488" i="2"/>
  <c r="E1026" i="2" s="1"/>
  <c r="I972" i="2"/>
  <c r="E98" i="2"/>
  <c r="E82" i="2"/>
  <c r="E58" i="2"/>
  <c r="H1118" i="2"/>
  <c r="G1120" i="2" s="1"/>
  <c r="G789" i="2" s="1"/>
  <c r="I3" i="2"/>
  <c r="G1075" i="2"/>
  <c r="G971" i="2"/>
  <c r="G931" i="2"/>
  <c r="G883" i="2"/>
  <c r="G1078" i="2"/>
  <c r="G533" i="2"/>
  <c r="G809" i="2"/>
  <c r="G949" i="2"/>
  <c r="G1073" i="2"/>
  <c r="G333" i="2"/>
  <c r="G203" i="2"/>
  <c r="E1260" i="2"/>
  <c r="E1244" i="2"/>
  <c r="E1242" i="2"/>
  <c r="E1240" i="2"/>
  <c r="E1238" i="2"/>
  <c r="E1233" i="2"/>
  <c r="E1241" i="2"/>
  <c r="E1222" i="2"/>
  <c r="E1226" i="2"/>
  <c r="E1198" i="2"/>
  <c r="E1165" i="2"/>
  <c r="E1227" i="2"/>
  <c r="E1183" i="2"/>
  <c r="E1224" i="2"/>
  <c r="E724" i="2"/>
  <c r="E707" i="2"/>
  <c r="E749" i="2"/>
  <c r="E779" i="2" s="1"/>
  <c r="F779" i="2"/>
  <c r="E623" i="2"/>
  <c r="E797" i="2" s="1"/>
  <c r="F796" i="2"/>
  <c r="N805" i="2"/>
  <c r="J805" i="2"/>
  <c r="F805" i="2"/>
  <c r="O805" i="2"/>
  <c r="I805" i="2"/>
  <c r="M805" i="2"/>
  <c r="H805" i="2"/>
  <c r="P805" i="2"/>
  <c r="K805" i="2"/>
  <c r="Q805" i="2"/>
  <c r="G805" i="2"/>
  <c r="L805" i="2"/>
  <c r="L1085" i="2"/>
  <c r="L612" i="2"/>
  <c r="N1085" i="2"/>
  <c r="N612" i="2"/>
  <c r="F1110" i="2"/>
  <c r="F696" i="2"/>
  <c r="E597" i="2"/>
  <c r="H1110" i="2"/>
  <c r="H696" i="2"/>
  <c r="F1105" i="2"/>
  <c r="F691" i="2"/>
  <c r="G1103" i="2"/>
  <c r="G689" i="2"/>
  <c r="H1038" i="2"/>
  <c r="E500" i="2"/>
  <c r="E1038" i="2" s="1"/>
  <c r="H1008" i="2"/>
  <c r="E470" i="2"/>
  <c r="E1008" i="2" s="1"/>
  <c r="H1006" i="2"/>
  <c r="E468" i="2"/>
  <c r="E1006" i="2" s="1"/>
  <c r="N957" i="2"/>
  <c r="E821" i="2"/>
  <c r="O778" i="2"/>
  <c r="K778" i="2"/>
  <c r="G778" i="2"/>
  <c r="N778" i="2"/>
  <c r="J778" i="2"/>
  <c r="L778" i="2"/>
  <c r="P778" i="2"/>
  <c r="H778" i="2"/>
  <c r="Q778" i="2"/>
  <c r="M778" i="2"/>
  <c r="I778" i="2"/>
  <c r="E704" i="2"/>
  <c r="N761" i="2"/>
  <c r="J761" i="2"/>
  <c r="Q761" i="2"/>
  <c r="M761" i="2"/>
  <c r="I761" i="2"/>
  <c r="K761" i="2"/>
  <c r="O761" i="2"/>
  <c r="G761" i="2"/>
  <c r="P761" i="2"/>
  <c r="L761" i="2"/>
  <c r="H761" i="2"/>
  <c r="O1111" i="2"/>
  <c r="O697" i="2"/>
  <c r="G586" i="2"/>
  <c r="Q1020" i="2"/>
  <c r="M1020" i="2"/>
  <c r="I1020" i="2"/>
  <c r="P1020" i="2"/>
  <c r="L1020" i="2"/>
  <c r="H1020" i="2"/>
  <c r="O1020" i="2"/>
  <c r="G1020" i="2"/>
  <c r="K1020" i="2"/>
  <c r="J1020" i="2"/>
  <c r="N1020" i="2"/>
  <c r="O837" i="2"/>
  <c r="N837" i="2"/>
  <c r="Q837" i="2"/>
  <c r="P837" i="2"/>
  <c r="H837" i="2"/>
  <c r="L837" i="2"/>
  <c r="M837" i="2"/>
  <c r="I957" i="2"/>
  <c r="F808" i="2"/>
  <c r="O772" i="2"/>
  <c r="K772" i="2"/>
  <c r="G772" i="2"/>
  <c r="N772" i="2"/>
  <c r="J772" i="2"/>
  <c r="P772" i="2"/>
  <c r="H772" i="2"/>
  <c r="L772" i="2"/>
  <c r="I772" i="2"/>
  <c r="Q772" i="2"/>
  <c r="M772" i="2"/>
  <c r="Q803" i="2"/>
  <c r="M803" i="2"/>
  <c r="I803" i="2"/>
  <c r="P803" i="2"/>
  <c r="L803" i="2"/>
  <c r="H803" i="2"/>
  <c r="J803" i="2"/>
  <c r="N803" i="2"/>
  <c r="F803" i="2"/>
  <c r="O803" i="2"/>
  <c r="K803" i="2"/>
  <c r="G803" i="2"/>
  <c r="F415" i="2"/>
  <c r="G1098" i="2"/>
  <c r="G683" i="2"/>
  <c r="O1042" i="2"/>
  <c r="F1040" i="2"/>
  <c r="E502" i="2"/>
  <c r="E1040" i="2" s="1"/>
  <c r="H1030" i="2"/>
  <c r="O1019" i="2"/>
  <c r="K1019" i="2"/>
  <c r="G1019" i="2"/>
  <c r="N1019" i="2"/>
  <c r="J1019" i="2"/>
  <c r="L1019" i="2"/>
  <c r="P1019" i="2"/>
  <c r="H1019" i="2"/>
  <c r="M1019" i="2"/>
  <c r="I1019" i="2"/>
  <c r="Q1019" i="2"/>
  <c r="E473" i="2"/>
  <c r="E1011" i="2" s="1"/>
  <c r="J452" i="2"/>
  <c r="J990" i="2" s="1"/>
  <c r="P975" i="2"/>
  <c r="P686" i="2"/>
  <c r="Q975" i="2"/>
  <c r="Q686" i="2"/>
  <c r="F955" i="2"/>
  <c r="E417" i="2"/>
  <c r="E955" i="2" s="1"/>
  <c r="P878" i="2"/>
  <c r="E324" i="2"/>
  <c r="E201" i="2"/>
  <c r="F247" i="2"/>
  <c r="F632" i="2"/>
  <c r="F508" i="2"/>
  <c r="F880" i="2"/>
  <c r="P836" i="2"/>
  <c r="F836" i="2"/>
  <c r="F1109" i="2"/>
  <c r="F695" i="2"/>
  <c r="E596" i="2"/>
  <c r="P1109" i="2"/>
  <c r="P695" i="2"/>
  <c r="G695" i="2"/>
  <c r="G1109" i="2"/>
  <c r="F1096" i="2"/>
  <c r="F681" i="2"/>
  <c r="H831" i="2"/>
  <c r="E740" i="2"/>
  <c r="E770" i="2" s="1"/>
  <c r="F770" i="2"/>
  <c r="F1076" i="2"/>
  <c r="E563" i="2"/>
  <c r="E1076" i="2" s="1"/>
  <c r="E531" i="2"/>
  <c r="E525" i="2"/>
  <c r="Q1042" i="2"/>
  <c r="K1042" i="2"/>
  <c r="N1030" i="2"/>
  <c r="L1030" i="2"/>
  <c r="J999" i="2"/>
  <c r="O999" i="2"/>
  <c r="F993" i="2"/>
  <c r="E455" i="2"/>
  <c r="E993" i="2" s="1"/>
  <c r="K993" i="2"/>
  <c r="L987" i="2"/>
  <c r="K957" i="2"/>
  <c r="H955" i="2"/>
  <c r="G815" i="2"/>
  <c r="F815" i="2"/>
  <c r="E198" i="2"/>
  <c r="E183" i="2"/>
  <c r="E1247" i="2"/>
  <c r="E736" i="2"/>
  <c r="E766" i="2" s="1"/>
  <c r="F766" i="2"/>
  <c r="E721" i="2"/>
  <c r="E519" i="2"/>
  <c r="E515" i="2"/>
  <c r="Q1025" i="2"/>
  <c r="N1025" i="2"/>
  <c r="F1017" i="2"/>
  <c r="E479" i="2"/>
  <c r="E1017" i="2" s="1"/>
  <c r="M1013" i="2"/>
  <c r="N1013" i="2"/>
  <c r="N1012" i="2"/>
  <c r="M987" i="2"/>
  <c r="J987" i="2"/>
  <c r="G508" i="2"/>
  <c r="F1036" i="2"/>
  <c r="E498" i="2"/>
  <c r="E1036" i="2" s="1"/>
  <c r="O1013" i="2"/>
  <c r="K1009" i="2"/>
  <c r="P1007" i="2"/>
  <c r="L831" i="2"/>
  <c r="G983" i="2"/>
  <c r="G452" i="2"/>
  <c r="G990" i="2" s="1"/>
  <c r="F452" i="2"/>
  <c r="G969" i="2"/>
  <c r="I969" i="2"/>
  <c r="J969" i="2"/>
  <c r="K964" i="2"/>
  <c r="M964" i="2"/>
  <c r="J964" i="2"/>
  <c r="P963" i="2"/>
  <c r="P955" i="2"/>
  <c r="H892" i="2"/>
  <c r="M892" i="2"/>
  <c r="J892" i="2"/>
  <c r="G887" i="2"/>
  <c r="G882" i="2"/>
  <c r="Q882" i="2"/>
  <c r="N882" i="2"/>
  <c r="Q878" i="2"/>
  <c r="O878" i="2"/>
  <c r="E322" i="2"/>
  <c r="E155" i="2"/>
  <c r="F164" i="2"/>
  <c r="E104" i="2"/>
  <c r="P1028" i="2"/>
  <c r="I1028" i="2"/>
  <c r="J1028" i="2"/>
  <c r="N840" i="2"/>
  <c r="J840" i="2"/>
  <c r="F840" i="2"/>
  <c r="Q840" i="2"/>
  <c r="M840" i="2"/>
  <c r="I840" i="2"/>
  <c r="L840" i="2"/>
  <c r="K840" i="2"/>
  <c r="O840" i="2"/>
  <c r="G840" i="2"/>
  <c r="P840" i="2"/>
  <c r="H840" i="2"/>
  <c r="H973" i="2"/>
  <c r="Q973" i="2"/>
  <c r="P970" i="2"/>
  <c r="I960" i="2"/>
  <c r="F960" i="2"/>
  <c r="E422" i="2"/>
  <c r="E960" i="2" s="1"/>
  <c r="H952" i="2"/>
  <c r="M952" i="2"/>
  <c r="J952" i="2"/>
  <c r="H946" i="2"/>
  <c r="Q946" i="2"/>
  <c r="N946" i="2"/>
  <c r="L886" i="2"/>
  <c r="F886" i="2"/>
  <c r="E345" i="2"/>
  <c r="E886" i="2" s="1"/>
  <c r="H330" i="2"/>
  <c r="M330" i="2"/>
  <c r="G238" i="2"/>
  <c r="E506" i="2"/>
  <c r="E1044" i="2" s="1"/>
  <c r="K1035" i="2"/>
  <c r="M1035" i="2"/>
  <c r="J1035" i="2"/>
  <c r="G1007" i="2"/>
  <c r="M1007" i="2"/>
  <c r="J1007" i="2"/>
  <c r="H999" i="2"/>
  <c r="O963" i="2"/>
  <c r="F963" i="2"/>
  <c r="E425" i="2"/>
  <c r="E963" i="2" s="1"/>
  <c r="E409" i="2"/>
  <c r="E947" i="2" s="1"/>
  <c r="E405" i="2"/>
  <c r="E943" i="2" s="1"/>
  <c r="E223" i="2"/>
  <c r="G1039" i="2"/>
  <c r="M1039" i="2"/>
  <c r="J1039" i="2"/>
  <c r="H1022" i="2"/>
  <c r="M1022" i="2"/>
  <c r="N1022" i="2"/>
  <c r="P1003" i="2"/>
  <c r="Q1003" i="2"/>
  <c r="M995" i="2"/>
  <c r="Q993" i="2"/>
  <c r="P993" i="2"/>
  <c r="K970" i="2"/>
  <c r="F958" i="2"/>
  <c r="E420" i="2"/>
  <c r="E958" i="2" s="1"/>
  <c r="H941" i="2"/>
  <c r="Q941" i="2"/>
  <c r="N941" i="2"/>
  <c r="G939" i="2"/>
  <c r="M897" i="2"/>
  <c r="N897" i="2"/>
  <c r="P891" i="2"/>
  <c r="Q891" i="2"/>
  <c r="H889" i="2"/>
  <c r="M889" i="2"/>
  <c r="J889" i="2"/>
  <c r="L887" i="2"/>
  <c r="G884" i="2"/>
  <c r="E291" i="2"/>
  <c r="E230" i="2"/>
  <c r="E154" i="2"/>
  <c r="E114" i="2"/>
  <c r="F122" i="2"/>
  <c r="E122" i="2" s="1"/>
  <c r="E87" i="2"/>
  <c r="H1004" i="2"/>
  <c r="M1004" i="2"/>
  <c r="J1004" i="2"/>
  <c r="P1000" i="2"/>
  <c r="I1000" i="2"/>
  <c r="J1000" i="2"/>
  <c r="H948" i="2"/>
  <c r="Q948" i="2"/>
  <c r="I884" i="2"/>
  <c r="F884" i="2"/>
  <c r="E343" i="2"/>
  <c r="E884" i="2" s="1"/>
  <c r="E153" i="2"/>
  <c r="E17" i="2"/>
  <c r="Q995" i="2"/>
  <c r="P995" i="2"/>
  <c r="H972" i="2"/>
  <c r="Q972" i="2"/>
  <c r="F968" i="2"/>
  <c r="E430" i="2"/>
  <c r="E968" i="2" s="1"/>
  <c r="E388" i="2"/>
  <c r="E929" i="2" s="1"/>
  <c r="E344" i="2"/>
  <c r="E885" i="2" s="1"/>
  <c r="E156" i="2"/>
  <c r="G1088" i="2"/>
  <c r="G673" i="2"/>
  <c r="G1061" i="2"/>
  <c r="G1059" i="2"/>
  <c r="G1057" i="2"/>
  <c r="G1055" i="2"/>
  <c r="G1054" i="2"/>
  <c r="G1052" i="2"/>
  <c r="G1051" i="2"/>
  <c r="G1050" i="2"/>
  <c r="G1062" i="2"/>
  <c r="G915" i="2"/>
  <c r="G1060" i="2"/>
  <c r="G1056" i="2"/>
  <c r="G912" i="2"/>
  <c r="G910" i="2"/>
  <c r="G908" i="2"/>
  <c r="G907" i="2"/>
  <c r="G905" i="2"/>
  <c r="G904" i="2"/>
  <c r="G903" i="2"/>
  <c r="G914" i="2"/>
  <c r="G906" i="2"/>
  <c r="G1058" i="2"/>
  <c r="G1053" i="2"/>
  <c r="G913" i="2"/>
  <c r="G909" i="2"/>
  <c r="G911" i="2"/>
  <c r="E836" i="2" l="1"/>
  <c r="E819" i="2"/>
  <c r="E829" i="2"/>
  <c r="G441" i="2"/>
  <c r="E831" i="2"/>
  <c r="I837" i="2"/>
  <c r="G247" i="2"/>
  <c r="G64" i="2"/>
  <c r="G30" i="2"/>
  <c r="G951" i="2"/>
  <c r="G606" i="2"/>
  <c r="O839" i="2"/>
  <c r="N838" i="2"/>
  <c r="G51" i="2"/>
  <c r="G66" i="2" s="1"/>
  <c r="G808" i="2"/>
  <c r="G795" i="2" s="1"/>
  <c r="J837" i="2"/>
  <c r="Q838" i="2"/>
  <c r="J839" i="2"/>
  <c r="I1093" i="2"/>
  <c r="I678" i="2"/>
  <c r="F967" i="2"/>
  <c r="G923" i="2"/>
  <c r="G392" i="2"/>
  <c r="F971" i="2"/>
  <c r="E803" i="2"/>
  <c r="F788" i="2"/>
  <c r="F795" i="2"/>
  <c r="H1108" i="2"/>
  <c r="H694" i="2"/>
  <c r="H1105" i="2"/>
  <c r="H691" i="2"/>
  <c r="H759" i="2"/>
  <c r="B868" i="2"/>
  <c r="F1091" i="2"/>
  <c r="F676" i="2"/>
  <c r="F908" i="2"/>
  <c r="F1055" i="2"/>
  <c r="F902" i="2"/>
  <c r="F379" i="2"/>
  <c r="H1087" i="2"/>
  <c r="H586" i="2"/>
  <c r="H672" i="2"/>
  <c r="F1018" i="2"/>
  <c r="E480" i="2"/>
  <c r="E1018" i="2" s="1"/>
  <c r="F688" i="2"/>
  <c r="E1111" i="2"/>
  <c r="E697" i="2"/>
  <c r="F1093" i="2"/>
  <c r="F678" i="2"/>
  <c r="E1085" i="2"/>
  <c r="E612" i="2"/>
  <c r="Q839" i="2"/>
  <c r="G225" i="2"/>
  <c r="F238" i="2"/>
  <c r="H1092" i="2"/>
  <c r="H677" i="2"/>
  <c r="F1041" i="2"/>
  <c r="F1075" i="2"/>
  <c r="F685" i="2"/>
  <c r="N1108" i="2"/>
  <c r="N694" i="2"/>
  <c r="H838" i="2"/>
  <c r="E834" i="2"/>
  <c r="H1093" i="2"/>
  <c r="H678" i="2"/>
  <c r="F912" i="2"/>
  <c r="F1056" i="2"/>
  <c r="F904" i="2"/>
  <c r="F1050" i="2"/>
  <c r="N783" i="2"/>
  <c r="J783" i="2"/>
  <c r="Q783" i="2"/>
  <c r="M783" i="2"/>
  <c r="I783" i="2"/>
  <c r="O783" i="2"/>
  <c r="G783" i="2"/>
  <c r="K783" i="2"/>
  <c r="P783" i="2"/>
  <c r="L783" i="2"/>
  <c r="H783" i="2"/>
  <c r="G798" i="2"/>
  <c r="F949" i="2"/>
  <c r="H1088" i="2"/>
  <c r="H673" i="2"/>
  <c r="F764" i="2"/>
  <c r="E734" i="2"/>
  <c r="E764" i="2" s="1"/>
  <c r="F634" i="2"/>
  <c r="G1049" i="2"/>
  <c r="G554" i="2"/>
  <c r="G1067" i="2" s="1"/>
  <c r="F944" i="2"/>
  <c r="G1037" i="2"/>
  <c r="H1094" i="2"/>
  <c r="H679" i="2"/>
  <c r="H1104" i="2"/>
  <c r="H690" i="2"/>
  <c r="F931" i="2"/>
  <c r="F926" i="2"/>
  <c r="H1098" i="2"/>
  <c r="H683" i="2"/>
  <c r="F772" i="2"/>
  <c r="E742" i="2"/>
  <c r="E772" i="2" s="1"/>
  <c r="G837" i="2"/>
  <c r="G769" i="2"/>
  <c r="O1108" i="2"/>
  <c r="O694" i="2"/>
  <c r="Q1108" i="2"/>
  <c r="Q694" i="2"/>
  <c r="P1108" i="2"/>
  <c r="P694" i="2"/>
  <c r="E1110" i="2"/>
  <c r="E696" i="2"/>
  <c r="G790" i="2"/>
  <c r="H790" i="2"/>
  <c r="F790" i="2"/>
  <c r="E805" i="2"/>
  <c r="G781" i="2"/>
  <c r="G796" i="2"/>
  <c r="G926" i="2"/>
  <c r="G1041" i="2"/>
  <c r="G759" i="2"/>
  <c r="G1070" i="2"/>
  <c r="G567" i="2"/>
  <c r="G1080" i="2" s="1"/>
  <c r="F792" i="2"/>
  <c r="M838" i="2"/>
  <c r="G838" i="2"/>
  <c r="L838" i="2"/>
  <c r="E653" i="2"/>
  <c r="H1091" i="2"/>
  <c r="H676" i="2"/>
  <c r="E806" i="2"/>
  <c r="F791" i="2"/>
  <c r="F782" i="2"/>
  <c r="E752" i="2"/>
  <c r="E782" i="2" s="1"/>
  <c r="G763" i="2"/>
  <c r="F913" i="2"/>
  <c r="F51" i="2"/>
  <c r="F1049" i="2"/>
  <c r="F554" i="2"/>
  <c r="F910" i="2"/>
  <c r="F1061" i="2"/>
  <c r="F909" i="2"/>
  <c r="F1057" i="2"/>
  <c r="E830" i="2"/>
  <c r="F848" i="2"/>
  <c r="E810" i="2"/>
  <c r="F797" i="2"/>
  <c r="G797" i="2"/>
  <c r="G178" i="2"/>
  <c r="G1046" i="2" s="1"/>
  <c r="F928" i="2"/>
  <c r="E975" i="2"/>
  <c r="E686" i="2"/>
  <c r="G494" i="2"/>
  <c r="G1032" i="2" s="1"/>
  <c r="E842" i="2"/>
  <c r="E816" i="2"/>
  <c r="G800" i="2"/>
  <c r="F777" i="2"/>
  <c r="E812" i="2"/>
  <c r="F799" i="2"/>
  <c r="E832" i="2"/>
  <c r="E835" i="2"/>
  <c r="F774" i="2"/>
  <c r="G839" i="2"/>
  <c r="K839" i="2"/>
  <c r="I839" i="2"/>
  <c r="F768" i="2"/>
  <c r="E738" i="2"/>
  <c r="E768" i="2" s="1"/>
  <c r="E840" i="2"/>
  <c r="F64" i="2"/>
  <c r="F781" i="2"/>
  <c r="F1019" i="2"/>
  <c r="E481" i="2"/>
  <c r="E1019" i="2" s="1"/>
  <c r="F769" i="2"/>
  <c r="M1108" i="2"/>
  <c r="M694" i="2"/>
  <c r="J1108" i="2"/>
  <c r="J694" i="2"/>
  <c r="H1061" i="2"/>
  <c r="H1060" i="2"/>
  <c r="H1056" i="2"/>
  <c r="H1051" i="2"/>
  <c r="H912" i="2"/>
  <c r="H910" i="2"/>
  <c r="H908" i="2"/>
  <c r="H907" i="2"/>
  <c r="H905" i="2"/>
  <c r="H904" i="2"/>
  <c r="H903" i="2"/>
  <c r="H1059" i="2"/>
  <c r="H1054" i="2"/>
  <c r="H1053" i="2"/>
  <c r="H1052" i="2"/>
  <c r="H913" i="2"/>
  <c r="H1058" i="2"/>
  <c r="H1055" i="2"/>
  <c r="H911" i="2"/>
  <c r="H1062" i="2"/>
  <c r="H1057" i="2"/>
  <c r="H1050" i="2"/>
  <c r="H915" i="2"/>
  <c r="H909" i="2"/>
  <c r="H914" i="2"/>
  <c r="H906" i="2"/>
  <c r="E22" i="2"/>
  <c r="F838" i="2"/>
  <c r="E841" i="2"/>
  <c r="G685" i="2"/>
  <c r="F178" i="2"/>
  <c r="F905" i="2"/>
  <c r="F1053" i="2"/>
  <c r="F915" i="2"/>
  <c r="F914" i="2"/>
  <c r="E722" i="2"/>
  <c r="F765" i="2"/>
  <c r="E735" i="2"/>
  <c r="E765" i="2" s="1"/>
  <c r="H799" i="2"/>
  <c r="F923" i="2"/>
  <c r="F997" i="2"/>
  <c r="L839" i="2"/>
  <c r="F203" i="2"/>
  <c r="E1109" i="2"/>
  <c r="E695" i="2"/>
  <c r="G774" i="2"/>
  <c r="F883" i="2"/>
  <c r="F358" i="2"/>
  <c r="F1078" i="2"/>
  <c r="G788" i="2"/>
  <c r="F1020" i="2"/>
  <c r="E482" i="2"/>
  <c r="E1020" i="2" s="1"/>
  <c r="E748" i="2"/>
  <c r="E778" i="2" s="1"/>
  <c r="F778" i="2"/>
  <c r="I1108" i="2"/>
  <c r="I694" i="2"/>
  <c r="L1108" i="2"/>
  <c r="L694" i="2"/>
  <c r="F441" i="2"/>
  <c r="J838" i="2"/>
  <c r="E330" i="2"/>
  <c r="H791" i="2"/>
  <c r="G791" i="2"/>
  <c r="F225" i="2"/>
  <c r="F1054" i="2"/>
  <c r="F907" i="2"/>
  <c r="F1051" i="2"/>
  <c r="F906" i="2"/>
  <c r="E827" i="2"/>
  <c r="E807" i="2"/>
  <c r="F793" i="2"/>
  <c r="F1070" i="2"/>
  <c r="P839" i="2"/>
  <c r="G902" i="2"/>
  <c r="G379" i="2"/>
  <c r="G920" i="2" s="1"/>
  <c r="F600" i="2"/>
  <c r="G880" i="2"/>
  <c r="F990" i="2"/>
  <c r="E452" i="2"/>
  <c r="E990" i="2" s="1"/>
  <c r="F494" i="2"/>
  <c r="F763" i="2"/>
  <c r="F951" i="2"/>
  <c r="F333" i="2"/>
  <c r="F692" i="2"/>
  <c r="F837" i="2"/>
  <c r="K837" i="2"/>
  <c r="H1103" i="2"/>
  <c r="H689" i="2"/>
  <c r="F761" i="2"/>
  <c r="E731" i="2"/>
  <c r="E761" i="2" s="1"/>
  <c r="G1108" i="2"/>
  <c r="G694" i="2"/>
  <c r="K1108" i="2"/>
  <c r="K694" i="2"/>
  <c r="F1108" i="2"/>
  <c r="F694" i="2"/>
  <c r="E595" i="2"/>
  <c r="I1118" i="2"/>
  <c r="H1120" i="2" s="1"/>
  <c r="J3" i="2"/>
  <c r="H931" i="2"/>
  <c r="H1078" i="2"/>
  <c r="H333" i="2"/>
  <c r="H848" i="2"/>
  <c r="H794" i="2" s="1"/>
  <c r="H688" i="2"/>
  <c r="H164" i="2"/>
  <c r="H928" i="2"/>
  <c r="H808" i="2"/>
  <c r="H795" i="2" s="1"/>
  <c r="H763" i="2"/>
  <c r="H1041" i="2"/>
  <c r="H883" i="2"/>
  <c r="H781" i="2"/>
  <c r="H971" i="2"/>
  <c r="F30" i="2"/>
  <c r="G1093" i="2"/>
  <c r="G678" i="2"/>
  <c r="E817" i="2"/>
  <c r="F855" i="2"/>
  <c r="I838" i="2"/>
  <c r="K838" i="2"/>
  <c r="P838" i="2"/>
  <c r="F1073" i="2"/>
  <c r="E828" i="2"/>
  <c r="E833" i="2"/>
  <c r="F903" i="2"/>
  <c r="F1052" i="2"/>
  <c r="F1060" i="2"/>
  <c r="F1059" i="2"/>
  <c r="F1062" i="2"/>
  <c r="F911" i="2"/>
  <c r="F1058" i="2"/>
  <c r="G794" i="2"/>
  <c r="E811" i="2"/>
  <c r="F798" i="2"/>
  <c r="G855" i="2"/>
  <c r="E818" i="2"/>
  <c r="G799" i="2"/>
  <c r="F392" i="2"/>
  <c r="G358" i="2"/>
  <c r="E843" i="2"/>
  <c r="F533" i="2"/>
  <c r="F586" i="2"/>
  <c r="F786" i="2"/>
  <c r="E756" i="2"/>
  <c r="E786" i="2" s="1"/>
  <c r="F567" i="2"/>
  <c r="F839" i="2"/>
  <c r="H839" i="2"/>
  <c r="M839" i="2"/>
  <c r="G844" i="2" l="1"/>
  <c r="AG276" i="2"/>
  <c r="AG275" i="2"/>
  <c r="AG273" i="2"/>
  <c r="AG274" i="2"/>
  <c r="AG107" i="2"/>
  <c r="G933" i="2"/>
  <c r="E663" i="2"/>
  <c r="H600" i="2"/>
  <c r="F844" i="2"/>
  <c r="F854" i="2" s="1"/>
  <c r="E839" i="2"/>
  <c r="H178" i="2"/>
  <c r="H30" i="2"/>
  <c r="H847" i="2"/>
  <c r="H632" i="2"/>
  <c r="I1105" i="2"/>
  <c r="I691" i="2"/>
  <c r="J1118" i="2"/>
  <c r="I1120" i="2" s="1"/>
  <c r="K3" i="2"/>
  <c r="I1078" i="2"/>
  <c r="I1075" i="2"/>
  <c r="I333" i="2"/>
  <c r="I809" i="2"/>
  <c r="I796" i="2" s="1"/>
  <c r="I883" i="2"/>
  <c r="I971" i="2"/>
  <c r="I808" i="2"/>
  <c r="I949" i="2"/>
  <c r="I928" i="2"/>
  <c r="I533" i="2"/>
  <c r="I777" i="2"/>
  <c r="I1107" i="2"/>
  <c r="I693" i="2"/>
  <c r="G850" i="2"/>
  <c r="G854" i="2"/>
  <c r="G857" i="2" s="1"/>
  <c r="G309" i="2" s="1"/>
  <c r="G311" i="2" s="1"/>
  <c r="H902" i="2"/>
  <c r="H379" i="2"/>
  <c r="H920" i="2" s="1"/>
  <c r="G899" i="2"/>
  <c r="G394" i="2"/>
  <c r="H949" i="2"/>
  <c r="H533" i="2"/>
  <c r="G1107" i="2"/>
  <c r="G693" i="2"/>
  <c r="G600" i="2"/>
  <c r="I1091" i="2"/>
  <c r="I676" i="2"/>
  <c r="F933" i="2"/>
  <c r="H777" i="2"/>
  <c r="H1075" i="2"/>
  <c r="H926" i="2"/>
  <c r="H951" i="2"/>
  <c r="H880" i="2"/>
  <c r="H358" i="2"/>
  <c r="H967" i="2"/>
  <c r="I1094" i="2"/>
  <c r="I679" i="2"/>
  <c r="I1096" i="2"/>
  <c r="I681" i="2"/>
  <c r="I1088" i="2"/>
  <c r="I673" i="2"/>
  <c r="I1103" i="2"/>
  <c r="I689" i="2"/>
  <c r="H789" i="2"/>
  <c r="H793" i="2"/>
  <c r="H800" i="2"/>
  <c r="H788" i="2"/>
  <c r="H1070" i="2"/>
  <c r="E661" i="2"/>
  <c r="H1049" i="2"/>
  <c r="H554" i="2"/>
  <c r="H1067" i="2" s="1"/>
  <c r="G510" i="2"/>
  <c r="G569" i="2" s="1"/>
  <c r="F794" i="2"/>
  <c r="F856" i="2"/>
  <c r="F1067" i="2"/>
  <c r="H856" i="2"/>
  <c r="F606" i="2"/>
  <c r="F920" i="2"/>
  <c r="E667" i="2"/>
  <c r="H997" i="2"/>
  <c r="H494" i="2"/>
  <c r="H1032" i="2" s="1"/>
  <c r="H1107" i="2"/>
  <c r="H693" i="2"/>
  <c r="H225" i="2"/>
  <c r="E753" i="2"/>
  <c r="E783" i="2" s="1"/>
  <c r="F783" i="2"/>
  <c r="F1046" i="2"/>
  <c r="H809" i="2"/>
  <c r="I1104" i="2"/>
  <c r="I690" i="2"/>
  <c r="I1087" i="2"/>
  <c r="I672" i="2"/>
  <c r="I586" i="2"/>
  <c r="E837" i="2"/>
  <c r="H567" i="2"/>
  <c r="F510" i="2"/>
  <c r="E838" i="2"/>
  <c r="E668" i="2"/>
  <c r="F1080" i="2"/>
  <c r="F66" i="2"/>
  <c r="H1037" i="2"/>
  <c r="H508" i="2"/>
  <c r="H238" i="2"/>
  <c r="H923" i="2"/>
  <c r="H392" i="2"/>
  <c r="H64" i="2"/>
  <c r="H944" i="2"/>
  <c r="H815" i="2"/>
  <c r="H1073" i="2"/>
  <c r="H247" i="2"/>
  <c r="H692" i="2"/>
  <c r="H415" i="2"/>
  <c r="H774" i="2" s="1"/>
  <c r="H203" i="2"/>
  <c r="H606" i="2"/>
  <c r="I1098" i="2"/>
  <c r="I683" i="2"/>
  <c r="I1090" i="2"/>
  <c r="I675" i="2"/>
  <c r="I1092" i="2"/>
  <c r="I677" i="2"/>
  <c r="I759" i="2"/>
  <c r="I1060" i="2"/>
  <c r="I1056" i="2"/>
  <c r="I1053" i="2"/>
  <c r="I1054" i="2"/>
  <c r="I1055" i="2"/>
  <c r="I909" i="2"/>
  <c r="I1050" i="2"/>
  <c r="I912" i="2"/>
  <c r="I904" i="2"/>
  <c r="I910" i="2"/>
  <c r="E1108" i="2"/>
  <c r="E694" i="2"/>
  <c r="F1032" i="2"/>
  <c r="F1107" i="2"/>
  <c r="F693" i="2"/>
  <c r="F899" i="2"/>
  <c r="F394" i="2"/>
  <c r="H51" i="2"/>
  <c r="H769" i="2"/>
  <c r="H798" i="2"/>
  <c r="H797" i="2"/>
  <c r="E662" i="2"/>
  <c r="F850" i="2" l="1"/>
  <c r="H441" i="2"/>
  <c r="I763" i="2"/>
  <c r="H66" i="2"/>
  <c r="H933" i="2"/>
  <c r="I30" i="2"/>
  <c r="I967" i="2"/>
  <c r="F569" i="2"/>
  <c r="I1037" i="2"/>
  <c r="I508" i="2"/>
  <c r="I632" i="2"/>
  <c r="I634" i="2" s="1"/>
  <c r="I847" i="2"/>
  <c r="J1078" i="2"/>
  <c r="J848" i="2"/>
  <c r="J856" i="2" s="1"/>
  <c r="J931" i="2"/>
  <c r="J164" i="2"/>
  <c r="J247" i="2"/>
  <c r="I903" i="2"/>
  <c r="I906" i="2"/>
  <c r="H510" i="2"/>
  <c r="H569" i="2" s="1"/>
  <c r="I1070" i="2"/>
  <c r="I567" i="2"/>
  <c r="I600" i="2"/>
  <c r="I688" i="2"/>
  <c r="I64" i="2"/>
  <c r="I926" i="2"/>
  <c r="J1091" i="2"/>
  <c r="J676" i="2"/>
  <c r="J1104" i="2"/>
  <c r="J690" i="2"/>
  <c r="J1094" i="2"/>
  <c r="J679" i="2"/>
  <c r="J1055" i="2"/>
  <c r="J1053" i="2"/>
  <c r="J914" i="2"/>
  <c r="J911" i="2"/>
  <c r="J906" i="2"/>
  <c r="J1058" i="2"/>
  <c r="J1057" i="2"/>
  <c r="J1050" i="2"/>
  <c r="J915" i="2"/>
  <c r="J1062" i="2"/>
  <c r="J1061" i="2"/>
  <c r="J907" i="2"/>
  <c r="J1060" i="2"/>
  <c r="J1054" i="2"/>
  <c r="J1052" i="2"/>
  <c r="J1051" i="2"/>
  <c r="J910" i="2"/>
  <c r="J904" i="2"/>
  <c r="J1059" i="2"/>
  <c r="J903" i="2"/>
  <c r="J913" i="2"/>
  <c r="J905" i="2"/>
  <c r="J912" i="2"/>
  <c r="J908" i="2"/>
  <c r="F935" i="2"/>
  <c r="F396" i="2"/>
  <c r="I51" i="2"/>
  <c r="I66" i="2" s="1"/>
  <c r="I1051" i="2"/>
  <c r="I905" i="2"/>
  <c r="I1061" i="2"/>
  <c r="I908" i="2"/>
  <c r="I1059" i="2"/>
  <c r="I1058" i="2"/>
  <c r="H685" i="2"/>
  <c r="H1080" i="2"/>
  <c r="H796" i="2"/>
  <c r="H844" i="2"/>
  <c r="G636" i="2"/>
  <c r="H899" i="2"/>
  <c r="H394" i="2"/>
  <c r="E666" i="2"/>
  <c r="I203" i="2"/>
  <c r="I997" i="2"/>
  <c r="I494" i="2"/>
  <c r="I848" i="2"/>
  <c r="I931" i="2"/>
  <c r="J1093" i="2"/>
  <c r="J678" i="2"/>
  <c r="J1092" i="2"/>
  <c r="J677" i="2"/>
  <c r="J1087" i="2"/>
  <c r="J672" i="2"/>
  <c r="J586" i="2"/>
  <c r="J1098" i="2"/>
  <c r="J683" i="2"/>
  <c r="I789" i="2"/>
  <c r="I793" i="2"/>
  <c r="I800" i="2"/>
  <c r="I797" i="2"/>
  <c r="I798" i="2"/>
  <c r="I790" i="2"/>
  <c r="I791" i="2"/>
  <c r="I799" i="2"/>
  <c r="I788" i="2"/>
  <c r="H634" i="2"/>
  <c r="I225" i="2"/>
  <c r="I902" i="2"/>
  <c r="I379" i="2"/>
  <c r="I920" i="2" s="1"/>
  <c r="I914" i="2"/>
  <c r="I1052" i="2"/>
  <c r="I1062" i="2"/>
  <c r="I769" i="2"/>
  <c r="I415" i="2"/>
  <c r="I441" i="2" s="1"/>
  <c r="I692" i="2"/>
  <c r="I944" i="2"/>
  <c r="I815" i="2"/>
  <c r="I844" i="2" s="1"/>
  <c r="I923" i="2"/>
  <c r="I392" i="2"/>
  <c r="J1103" i="2"/>
  <c r="J689" i="2"/>
  <c r="K1118" i="2"/>
  <c r="J1120" i="2" s="1"/>
  <c r="L3" i="2"/>
  <c r="I907" i="2"/>
  <c r="I1057" i="2"/>
  <c r="I781" i="2"/>
  <c r="I880" i="2"/>
  <c r="I358" i="2"/>
  <c r="I951" i="2"/>
  <c r="J1096" i="2"/>
  <c r="J681" i="2"/>
  <c r="I915" i="2"/>
  <c r="I911" i="2"/>
  <c r="I913" i="2"/>
  <c r="I1049" i="2"/>
  <c r="I554" i="2"/>
  <c r="H1046" i="2"/>
  <c r="J1107" i="2"/>
  <c r="J693" i="2"/>
  <c r="E665" i="2"/>
  <c r="G935" i="2"/>
  <c r="G396" i="2"/>
  <c r="I238" i="2"/>
  <c r="I164" i="2"/>
  <c r="I795" i="2"/>
  <c r="I178" i="2"/>
  <c r="I247" i="2"/>
  <c r="I1041" i="2"/>
  <c r="I1073" i="2"/>
  <c r="J1105" i="2"/>
  <c r="J691" i="2"/>
  <c r="J1088" i="2"/>
  <c r="J673" i="2"/>
  <c r="J1090" i="2"/>
  <c r="J675" i="2"/>
  <c r="H792" i="2"/>
  <c r="H855" i="2"/>
  <c r="F857" i="2"/>
  <c r="G639" i="2" l="1"/>
  <c r="G638" i="2" s="1"/>
  <c r="I933" i="2"/>
  <c r="K1096" i="2"/>
  <c r="K681" i="2"/>
  <c r="L1118" i="2"/>
  <c r="K1120" i="2" s="1"/>
  <c r="M3" i="2"/>
  <c r="J789" i="2"/>
  <c r="J800" i="2"/>
  <c r="J793" i="2"/>
  <c r="J798" i="2"/>
  <c r="J791" i="2"/>
  <c r="J788" i="2"/>
  <c r="J790" i="2"/>
  <c r="J797" i="2"/>
  <c r="J799" i="2"/>
  <c r="I510" i="2"/>
  <c r="J759" i="2"/>
  <c r="J1070" i="2"/>
  <c r="J567" i="2"/>
  <c r="J808" i="2"/>
  <c r="J928" i="2"/>
  <c r="J781" i="2"/>
  <c r="J1075" i="2"/>
  <c r="K1092" i="2"/>
  <c r="K677" i="2"/>
  <c r="K1104" i="2"/>
  <c r="K690" i="2"/>
  <c r="I685" i="2"/>
  <c r="J763" i="2"/>
  <c r="J794" i="2"/>
  <c r="I1046" i="2"/>
  <c r="I850" i="2"/>
  <c r="I854" i="2"/>
  <c r="I774" i="2"/>
  <c r="E276" i="2"/>
  <c r="K1094" i="2"/>
  <c r="K679" i="2"/>
  <c r="K1087" i="2"/>
  <c r="K672" i="2"/>
  <c r="K1098" i="2"/>
  <c r="K683" i="2"/>
  <c r="K1061" i="2"/>
  <c r="K1055" i="2"/>
  <c r="K1052" i="2"/>
  <c r="K1050" i="2"/>
  <c r="K912" i="2"/>
  <c r="K904" i="2"/>
  <c r="K903" i="2"/>
  <c r="K913" i="2"/>
  <c r="K909" i="2"/>
  <c r="K1053" i="2"/>
  <c r="K906" i="2"/>
  <c r="K1056" i="2"/>
  <c r="H850" i="2"/>
  <c r="H854" i="2"/>
  <c r="J51" i="2"/>
  <c r="J1049" i="2"/>
  <c r="J554" i="2"/>
  <c r="J1067" i="2" s="1"/>
  <c r="I1080" i="2"/>
  <c r="H636" i="2"/>
  <c r="J944" i="2"/>
  <c r="J815" i="2"/>
  <c r="J1073" i="2"/>
  <c r="J880" i="2"/>
  <c r="J358" i="2"/>
  <c r="J178" i="2"/>
  <c r="J1037" i="2"/>
  <c r="J508" i="2"/>
  <c r="J30" i="2"/>
  <c r="J203" i="2"/>
  <c r="J777" i="2"/>
  <c r="J926" i="2"/>
  <c r="I792" i="2"/>
  <c r="I855" i="2"/>
  <c r="I899" i="2"/>
  <c r="I394" i="2"/>
  <c r="I606" i="2"/>
  <c r="I1032" i="2"/>
  <c r="J1056" i="2"/>
  <c r="J688" i="2"/>
  <c r="J600" i="2"/>
  <c r="J333" i="2"/>
  <c r="K1091" i="2"/>
  <c r="K676" i="2"/>
  <c r="K1090" i="2"/>
  <c r="K675" i="2"/>
  <c r="K809" i="2"/>
  <c r="K796" i="2" s="1"/>
  <c r="K971" i="2"/>
  <c r="K931" i="2"/>
  <c r="K883" i="2"/>
  <c r="K1075" i="2"/>
  <c r="K333" i="2"/>
  <c r="K808" i="2"/>
  <c r="K848" i="2"/>
  <c r="K856" i="2" s="1"/>
  <c r="K606" i="2"/>
  <c r="K928" i="2"/>
  <c r="K769" i="2"/>
  <c r="J909" i="2"/>
  <c r="J769" i="2"/>
  <c r="J533" i="2"/>
  <c r="J809" i="2"/>
  <c r="J971" i="2"/>
  <c r="J883" i="2"/>
  <c r="F309" i="2"/>
  <c r="I1067" i="2"/>
  <c r="K1107" i="2"/>
  <c r="K693" i="2"/>
  <c r="K1093" i="2"/>
  <c r="K678" i="2"/>
  <c r="K1105" i="2"/>
  <c r="K691" i="2"/>
  <c r="K1103" i="2"/>
  <c r="K689" i="2"/>
  <c r="K1088" i="2"/>
  <c r="K673" i="2"/>
  <c r="I794" i="2"/>
  <c r="I856" i="2"/>
  <c r="H935" i="2"/>
  <c r="H396" i="2"/>
  <c r="J225" i="2"/>
  <c r="J902" i="2"/>
  <c r="J379" i="2"/>
  <c r="E274" i="2"/>
  <c r="J238" i="2"/>
  <c r="J967" i="2"/>
  <c r="J997" i="2"/>
  <c r="J494" i="2"/>
  <c r="J1032" i="2" s="1"/>
  <c r="J923" i="2"/>
  <c r="J392" i="2"/>
  <c r="J692" i="2"/>
  <c r="J415" i="2"/>
  <c r="J441" i="2" s="1"/>
  <c r="J64" i="2"/>
  <c r="J949" i="2"/>
  <c r="J1041" i="2"/>
  <c r="J632" i="2"/>
  <c r="J847" i="2"/>
  <c r="J951" i="2"/>
  <c r="J606" i="2"/>
  <c r="F636" i="2"/>
  <c r="K781" i="2" l="1"/>
  <c r="J792" i="2"/>
  <c r="J855" i="2"/>
  <c r="K923" i="2"/>
  <c r="K392" i="2"/>
  <c r="K795" i="2"/>
  <c r="J510" i="2"/>
  <c r="J569" i="2" s="1"/>
  <c r="K911" i="2"/>
  <c r="K910" i="2"/>
  <c r="K915" i="2"/>
  <c r="K1059" i="2"/>
  <c r="I569" i="2"/>
  <c r="L1091" i="2"/>
  <c r="L676" i="2"/>
  <c r="L1096" i="2"/>
  <c r="L681" i="2"/>
  <c r="J634" i="2"/>
  <c r="K1078" i="2"/>
  <c r="K951" i="2"/>
  <c r="K51" i="2"/>
  <c r="K1049" i="2"/>
  <c r="K554" i="2"/>
  <c r="K1054" i="2"/>
  <c r="L1094" i="2"/>
  <c r="L679" i="2"/>
  <c r="L1090" i="2"/>
  <c r="L675" i="2"/>
  <c r="L1087" i="2"/>
  <c r="L672" i="2"/>
  <c r="K793" i="2"/>
  <c r="K789" i="2"/>
  <c r="K800" i="2"/>
  <c r="K798" i="2"/>
  <c r="K790" i="2"/>
  <c r="K791" i="2"/>
  <c r="K788" i="2"/>
  <c r="K797" i="2"/>
  <c r="K799" i="2"/>
  <c r="J920" i="2"/>
  <c r="K944" i="2"/>
  <c r="K815" i="2"/>
  <c r="K844" i="2" s="1"/>
  <c r="K632" i="2"/>
  <c r="K634" i="2" s="1"/>
  <c r="K847" i="2"/>
  <c r="K967" i="2"/>
  <c r="K30" i="2"/>
  <c r="I935" i="2"/>
  <c r="I396" i="2"/>
  <c r="J1046" i="2"/>
  <c r="H857" i="2"/>
  <c r="K1060" i="2"/>
  <c r="K907" i="2"/>
  <c r="K1062" i="2"/>
  <c r="K586" i="2"/>
  <c r="K759" i="2"/>
  <c r="J795" i="2"/>
  <c r="J844" i="2"/>
  <c r="L1104" i="2"/>
  <c r="L690" i="2"/>
  <c r="L1092" i="2"/>
  <c r="L677" i="2"/>
  <c r="L1088" i="2"/>
  <c r="L673" i="2"/>
  <c r="F311" i="2"/>
  <c r="K777" i="2"/>
  <c r="K164" i="2"/>
  <c r="K1073" i="2"/>
  <c r="J899" i="2"/>
  <c r="J394" i="2"/>
  <c r="K902" i="2"/>
  <c r="K379" i="2"/>
  <c r="K920" i="2" s="1"/>
  <c r="L1103" i="2"/>
  <c r="L689" i="2"/>
  <c r="L759" i="2"/>
  <c r="L808" i="2"/>
  <c r="L1078" i="2"/>
  <c r="L164" i="2"/>
  <c r="L1075" i="2"/>
  <c r="L928" i="2"/>
  <c r="L1073" i="2"/>
  <c r="L769" i="2"/>
  <c r="L586" i="2"/>
  <c r="F639" i="2"/>
  <c r="F638" i="2" s="1"/>
  <c r="J933" i="2"/>
  <c r="J796" i="2"/>
  <c r="K688" i="2"/>
  <c r="K600" i="2"/>
  <c r="K64" i="2"/>
  <c r="J66" i="2"/>
  <c r="K905" i="2"/>
  <c r="K1058" i="2"/>
  <c r="L1093" i="2"/>
  <c r="L678" i="2"/>
  <c r="L1098" i="2"/>
  <c r="L683" i="2"/>
  <c r="J685" i="2"/>
  <c r="J774" i="2"/>
  <c r="K238" i="2"/>
  <c r="K1070" i="2"/>
  <c r="K567" i="2"/>
  <c r="K247" i="2"/>
  <c r="K763" i="2"/>
  <c r="K178" i="2"/>
  <c r="K692" i="2"/>
  <c r="K415" i="2"/>
  <c r="K441" i="2" s="1"/>
  <c r="K880" i="2"/>
  <c r="K358" i="2"/>
  <c r="K1037" i="2"/>
  <c r="K508" i="2"/>
  <c r="K997" i="2"/>
  <c r="K494" i="2"/>
  <c r="K794" i="2"/>
  <c r="K949" i="2"/>
  <c r="K533" i="2"/>
  <c r="K203" i="2"/>
  <c r="K926" i="2"/>
  <c r="K1041" i="2"/>
  <c r="H639" i="2"/>
  <c r="H638" i="2" s="1"/>
  <c r="K914" i="2"/>
  <c r="K908" i="2"/>
  <c r="K225" i="2"/>
  <c r="K1051" i="2"/>
  <c r="K1057" i="2"/>
  <c r="I857" i="2"/>
  <c r="I309" i="2" s="1"/>
  <c r="I311" i="2" s="1"/>
  <c r="J1080" i="2"/>
  <c r="L1107" i="2"/>
  <c r="L693" i="2"/>
  <c r="L1105" i="2"/>
  <c r="L691" i="2"/>
  <c r="M1118" i="2"/>
  <c r="L1120" i="2" s="1"/>
  <c r="N3" i="2"/>
  <c r="L1062" i="2"/>
  <c r="L1057" i="2"/>
  <c r="L912" i="2"/>
  <c r="L910" i="2"/>
  <c r="L908" i="2"/>
  <c r="L907" i="2"/>
  <c r="L905" i="2"/>
  <c r="L1061" i="2"/>
  <c r="L1060" i="2"/>
  <c r="L1051" i="2"/>
  <c r="L913" i="2"/>
  <c r="L1053" i="2"/>
  <c r="L1052" i="2"/>
  <c r="L1059" i="2"/>
  <c r="L911" i="2"/>
  <c r="L1058" i="2"/>
  <c r="L914" i="2"/>
  <c r="L915" i="2"/>
  <c r="K66" i="2" l="1"/>
  <c r="J636" i="2"/>
  <c r="K1046" i="2"/>
  <c r="L777" i="2"/>
  <c r="L178" i="2"/>
  <c r="L203" i="2"/>
  <c r="L238" i="2"/>
  <c r="M1088" i="2"/>
  <c r="M673" i="2"/>
  <c r="M333" i="2"/>
  <c r="M809" i="2"/>
  <c r="M931" i="2"/>
  <c r="M883" i="2"/>
  <c r="M971" i="2"/>
  <c r="M928" i="2"/>
  <c r="M808" i="2"/>
  <c r="M848" i="2"/>
  <c r="M967" i="2"/>
  <c r="M164" i="2"/>
  <c r="L1037" i="2"/>
  <c r="L508" i="2"/>
  <c r="L1046" i="2" s="1"/>
  <c r="L692" i="2"/>
  <c r="L415" i="2"/>
  <c r="L441" i="2" s="1"/>
  <c r="L533" i="2"/>
  <c r="L333" i="2"/>
  <c r="K1067" i="2"/>
  <c r="K850" i="2"/>
  <c r="K854" i="2"/>
  <c r="L909" i="2"/>
  <c r="L225" i="2"/>
  <c r="L1049" i="2"/>
  <c r="L554" i="2"/>
  <c r="L1067" i="2" s="1"/>
  <c r="L1050" i="2"/>
  <c r="M1094" i="2"/>
  <c r="M679" i="2"/>
  <c r="M856" i="2"/>
  <c r="L1070" i="2"/>
  <c r="L567" i="2"/>
  <c r="L944" i="2"/>
  <c r="L815" i="2"/>
  <c r="L781" i="2"/>
  <c r="K510" i="2"/>
  <c r="K569" i="2" s="1"/>
  <c r="K636" i="2" s="1"/>
  <c r="L902" i="2"/>
  <c r="L379" i="2"/>
  <c r="L920" i="2" s="1"/>
  <c r="L903" i="2"/>
  <c r="M1104" i="2"/>
  <c r="M690" i="2"/>
  <c r="M1087" i="2"/>
  <c r="M672" i="2"/>
  <c r="M586" i="2"/>
  <c r="N1118" i="2"/>
  <c r="M1120" i="2" s="1"/>
  <c r="O3" i="2"/>
  <c r="L800" i="2"/>
  <c r="L789" i="2"/>
  <c r="L793" i="2"/>
  <c r="L799" i="2"/>
  <c r="L791" i="2"/>
  <c r="L788" i="2"/>
  <c r="L798" i="2"/>
  <c r="L790" i="2"/>
  <c r="L797" i="2"/>
  <c r="K1032" i="2"/>
  <c r="K685" i="2"/>
  <c r="K774" i="2"/>
  <c r="L763" i="2"/>
  <c r="L926" i="2"/>
  <c r="L951" i="2"/>
  <c r="L971" i="2"/>
  <c r="L883" i="2"/>
  <c r="L880" i="2"/>
  <c r="L358" i="2"/>
  <c r="L967" i="2"/>
  <c r="L795" i="2"/>
  <c r="J935" i="2"/>
  <c r="J396" i="2"/>
  <c r="J639" i="2" s="1"/>
  <c r="J638" i="2" s="1"/>
  <c r="I636" i="2"/>
  <c r="K933" i="2"/>
  <c r="L906" i="2"/>
  <c r="L51" i="2"/>
  <c r="M1107" i="2"/>
  <c r="M693" i="2"/>
  <c r="M1098" i="2"/>
  <c r="M683" i="2"/>
  <c r="L997" i="2"/>
  <c r="L494" i="2"/>
  <c r="L848" i="2"/>
  <c r="H309" i="2"/>
  <c r="M1093" i="2"/>
  <c r="M678" i="2"/>
  <c r="M1096" i="2"/>
  <c r="M681" i="2"/>
  <c r="M1092" i="2"/>
  <c r="M677" i="2"/>
  <c r="M1105" i="2"/>
  <c r="M691" i="2"/>
  <c r="K1080" i="2"/>
  <c r="L1041" i="2"/>
  <c r="L1055" i="2"/>
  <c r="L1054" i="2"/>
  <c r="L1056" i="2"/>
  <c r="L904" i="2"/>
  <c r="M1091" i="2"/>
  <c r="M676" i="2"/>
  <c r="M1090" i="2"/>
  <c r="M675" i="2"/>
  <c r="M1103" i="2"/>
  <c r="M689" i="2"/>
  <c r="M759" i="2"/>
  <c r="M1062" i="2"/>
  <c r="M1060" i="2"/>
  <c r="M1058" i="2"/>
  <c r="M1056" i="2"/>
  <c r="M1053" i="2"/>
  <c r="M1061" i="2"/>
  <c r="M913" i="2"/>
  <c r="M1059" i="2"/>
  <c r="M1054" i="2"/>
  <c r="M914" i="2"/>
  <c r="M911" i="2"/>
  <c r="M909" i="2"/>
  <c r="M906" i="2"/>
  <c r="M1057" i="2"/>
  <c r="M912" i="2"/>
  <c r="M905" i="2"/>
  <c r="M1050" i="2"/>
  <c r="M1055" i="2"/>
  <c r="M903" i="2"/>
  <c r="M910" i="2"/>
  <c r="M904" i="2"/>
  <c r="K899" i="2"/>
  <c r="K394" i="2"/>
  <c r="L688" i="2"/>
  <c r="L600" i="2"/>
  <c r="L923" i="2"/>
  <c r="L392" i="2"/>
  <c r="L809" i="2"/>
  <c r="L949" i="2"/>
  <c r="L64" i="2"/>
  <c r="L30" i="2"/>
  <c r="L247" i="2"/>
  <c r="L632" i="2"/>
  <c r="L634" i="2" s="1"/>
  <c r="L847" i="2"/>
  <c r="L931" i="2"/>
  <c r="J850" i="2"/>
  <c r="J854" i="2"/>
  <c r="K792" i="2"/>
  <c r="K855" i="2"/>
  <c r="L774" i="2" l="1"/>
  <c r="L1080" i="2"/>
  <c r="L66" i="2"/>
  <c r="M951" i="2"/>
  <c r="M1073" i="2"/>
  <c r="M777" i="2"/>
  <c r="M30" i="2"/>
  <c r="L844" i="2"/>
  <c r="L850" i="2" s="1"/>
  <c r="M606" i="2"/>
  <c r="M902" i="2"/>
  <c r="M379" i="2"/>
  <c r="M920" i="2" s="1"/>
  <c r="M1049" i="2"/>
  <c r="M554" i="2"/>
  <c r="M1067" i="2" s="1"/>
  <c r="N1105" i="2"/>
  <c r="N691" i="2"/>
  <c r="O1118" i="2"/>
  <c r="N1120" i="2" s="1"/>
  <c r="P3" i="2"/>
  <c r="N1060" i="2"/>
  <c r="N1054" i="2"/>
  <c r="N1052" i="2"/>
  <c r="N909" i="2"/>
  <c r="N906" i="2"/>
  <c r="N1055" i="2"/>
  <c r="N1053" i="2"/>
  <c r="N915" i="2"/>
  <c r="N1050" i="2"/>
  <c r="N910" i="2"/>
  <c r="N904" i="2"/>
  <c r="N1051" i="2"/>
  <c r="N907" i="2"/>
  <c r="N1061" i="2"/>
  <c r="N905" i="2"/>
  <c r="N913" i="2"/>
  <c r="N912" i="2"/>
  <c r="N908" i="2"/>
  <c r="N903" i="2"/>
  <c r="M795" i="2"/>
  <c r="M1078" i="2"/>
  <c r="J857" i="2"/>
  <c r="L899" i="2"/>
  <c r="L394" i="2"/>
  <c r="N1107" i="2"/>
  <c r="N693" i="2"/>
  <c r="N1093" i="2"/>
  <c r="N678" i="2"/>
  <c r="N1104" i="2"/>
  <c r="N690" i="2"/>
  <c r="L606" i="2"/>
  <c r="M923" i="2"/>
  <c r="M392" i="2"/>
  <c r="L792" i="2"/>
  <c r="L855" i="2"/>
  <c r="L933" i="2"/>
  <c r="K935" i="2"/>
  <c r="K396" i="2"/>
  <c r="M51" i="2"/>
  <c r="M908" i="2"/>
  <c r="M1051" i="2"/>
  <c r="H311" i="2"/>
  <c r="I639" i="2"/>
  <c r="I638" i="2" s="1"/>
  <c r="N1096" i="2"/>
  <c r="N681" i="2"/>
  <c r="N1092" i="2"/>
  <c r="N677" i="2"/>
  <c r="N1098" i="2"/>
  <c r="N683" i="2"/>
  <c r="N1088" i="2"/>
  <c r="N673" i="2"/>
  <c r="N759" i="2"/>
  <c r="M793" i="2"/>
  <c r="M800" i="2"/>
  <c r="M789" i="2"/>
  <c r="M791" i="2"/>
  <c r="M788" i="2"/>
  <c r="M790" i="2"/>
  <c r="M798" i="2"/>
  <c r="M797" i="2"/>
  <c r="M799" i="2"/>
  <c r="K639" i="2"/>
  <c r="K638" i="2" s="1"/>
  <c r="L510" i="2"/>
  <c r="L685" i="2"/>
  <c r="M238" i="2"/>
  <c r="M600" i="2"/>
  <c r="M688" i="2"/>
  <c r="M64" i="2"/>
  <c r="M794" i="2"/>
  <c r="M247" i="2"/>
  <c r="M763" i="2"/>
  <c r="M949" i="2"/>
  <c r="M926" i="2"/>
  <c r="M796" i="2"/>
  <c r="M1041" i="2"/>
  <c r="M880" i="2"/>
  <c r="M358" i="2"/>
  <c r="L796" i="2"/>
  <c r="M907" i="2"/>
  <c r="M1052" i="2"/>
  <c r="L1032" i="2"/>
  <c r="N1103" i="2"/>
  <c r="N689" i="2"/>
  <c r="N1094" i="2"/>
  <c r="N679" i="2"/>
  <c r="K857" i="2"/>
  <c r="K309" i="2" s="1"/>
  <c r="K311" i="2" s="1"/>
  <c r="M1070" i="2"/>
  <c r="M567" i="2"/>
  <c r="M1080" i="2" s="1"/>
  <c r="M1037" i="2"/>
  <c r="M508" i="2"/>
  <c r="M1046" i="2" s="1"/>
  <c r="M178" i="2"/>
  <c r="M915" i="2"/>
  <c r="M225" i="2"/>
  <c r="L794" i="2"/>
  <c r="L856" i="2"/>
  <c r="N1091" i="2"/>
  <c r="N676" i="2"/>
  <c r="N1087" i="2"/>
  <c r="N672" i="2"/>
  <c r="N1090" i="2"/>
  <c r="N675" i="2"/>
  <c r="N1078" i="2"/>
  <c r="N848" i="2"/>
  <c r="N794" i="2" s="1"/>
  <c r="N30" i="2"/>
  <c r="N928" i="2"/>
  <c r="N809" i="2"/>
  <c r="N796" i="2" s="1"/>
  <c r="N164" i="2"/>
  <c r="N949" i="2"/>
  <c r="N808" i="2"/>
  <c r="N238" i="2"/>
  <c r="M769" i="2"/>
  <c r="M692" i="2"/>
  <c r="M415" i="2"/>
  <c r="M781" i="2"/>
  <c r="M847" i="2"/>
  <c r="M632" i="2"/>
  <c r="M634" i="2" s="1"/>
  <c r="M944" i="2"/>
  <c r="M815" i="2"/>
  <c r="M844" i="2" s="1"/>
  <c r="M203" i="2"/>
  <c r="M533" i="2"/>
  <c r="M997" i="2"/>
  <c r="M494" i="2"/>
  <c r="M1032" i="2" s="1"/>
  <c r="M1075" i="2"/>
  <c r="L854" i="2" l="1"/>
  <c r="N533" i="2"/>
  <c r="N64" i="2"/>
  <c r="M66" i="2"/>
  <c r="N769" i="2"/>
  <c r="N586" i="2"/>
  <c r="N51" i="2"/>
  <c r="N66" i="2" s="1"/>
  <c r="N777" i="2"/>
  <c r="M850" i="2"/>
  <c r="M854" i="2"/>
  <c r="M685" i="2"/>
  <c r="N692" i="2"/>
  <c r="N415" i="2"/>
  <c r="N997" i="2"/>
  <c r="N494" i="2"/>
  <c r="N1032" i="2" s="1"/>
  <c r="O1107" i="2"/>
  <c r="O693" i="2"/>
  <c r="O1104" i="2"/>
  <c r="O690" i="2"/>
  <c r="O1091" i="2"/>
  <c r="O676" i="2"/>
  <c r="O1088" i="2"/>
  <c r="O673" i="2"/>
  <c r="O1092" i="2"/>
  <c r="O677" i="2"/>
  <c r="M441" i="2"/>
  <c r="N763" i="2"/>
  <c r="N883" i="2"/>
  <c r="L935" i="2"/>
  <c r="L396" i="2"/>
  <c r="N1057" i="2"/>
  <c r="N1070" i="2"/>
  <c r="N567" i="2"/>
  <c r="N1080" i="2" s="1"/>
  <c r="N880" i="2"/>
  <c r="N358" i="2"/>
  <c r="N178" i="2"/>
  <c r="N1037" i="2"/>
  <c r="N508" i="2"/>
  <c r="N1046" i="2" s="1"/>
  <c r="N926" i="2"/>
  <c r="N333" i="2"/>
  <c r="N856" i="2"/>
  <c r="M933" i="2"/>
  <c r="N225" i="2"/>
  <c r="N911" i="2"/>
  <c r="O1093" i="2"/>
  <c r="O678" i="2"/>
  <c r="O1103" i="2"/>
  <c r="O689" i="2"/>
  <c r="O1090" i="2"/>
  <c r="O675" i="2"/>
  <c r="O759" i="2"/>
  <c r="N793" i="2"/>
  <c r="N789" i="2"/>
  <c r="N800" i="2"/>
  <c r="N788" i="2"/>
  <c r="N790" i="2"/>
  <c r="N799" i="2"/>
  <c r="N798" i="2"/>
  <c r="N797" i="2"/>
  <c r="N791" i="2"/>
  <c r="L857" i="2"/>
  <c r="L309" i="2" s="1"/>
  <c r="L311" i="2" s="1"/>
  <c r="M792" i="2"/>
  <c r="M855" i="2"/>
  <c r="N923" i="2"/>
  <c r="N392" i="2"/>
  <c r="N931" i="2"/>
  <c r="N781" i="2"/>
  <c r="J309" i="2"/>
  <c r="N1049" i="2"/>
  <c r="N554" i="2"/>
  <c r="N1067" i="2" s="1"/>
  <c r="N1059" i="2"/>
  <c r="O1105" i="2"/>
  <c r="O691" i="2"/>
  <c r="P1118" i="2"/>
  <c r="O1120" i="2" s="1"/>
  <c r="Q3" i="2"/>
  <c r="N847" i="2"/>
  <c r="N632" i="2"/>
  <c r="N634" i="2" s="1"/>
  <c r="N1075" i="2"/>
  <c r="O1098" i="2"/>
  <c r="O683" i="2"/>
  <c r="O1096" i="2"/>
  <c r="O681" i="2"/>
  <c r="O1061" i="2"/>
  <c r="O1059" i="2"/>
  <c r="O1057" i="2"/>
  <c r="O1055" i="2"/>
  <c r="O1054" i="2"/>
  <c r="O1052" i="2"/>
  <c r="O1051" i="2"/>
  <c r="O1050" i="2"/>
  <c r="O1053" i="2"/>
  <c r="O915" i="2"/>
  <c r="O1058" i="2"/>
  <c r="O912" i="2"/>
  <c r="O910" i="2"/>
  <c r="O905" i="2"/>
  <c r="O904" i="2"/>
  <c r="O903" i="2"/>
  <c r="O914" i="2"/>
  <c r="O906" i="2"/>
  <c r="O1062" i="2"/>
  <c r="O1056" i="2"/>
  <c r="O913" i="2"/>
  <c r="O909" i="2"/>
  <c r="O1060" i="2"/>
  <c r="O911" i="2"/>
  <c r="M774" i="2"/>
  <c r="N688" i="2"/>
  <c r="N600" i="2"/>
  <c r="N795" i="2"/>
  <c r="N944" i="2"/>
  <c r="N815" i="2"/>
  <c r="N844" i="2" s="1"/>
  <c r="N441" i="2"/>
  <c r="N967" i="2"/>
  <c r="N1073" i="2"/>
  <c r="N247" i="2"/>
  <c r="N1041" i="2"/>
  <c r="N203" i="2"/>
  <c r="N951" i="2"/>
  <c r="N971" i="2"/>
  <c r="M899" i="2"/>
  <c r="M394" i="2"/>
  <c r="L569" i="2"/>
  <c r="N1062" i="2"/>
  <c r="N1058" i="2"/>
  <c r="N902" i="2"/>
  <c r="N379" i="2"/>
  <c r="N920" i="2" s="1"/>
  <c r="N914" i="2"/>
  <c r="N1056" i="2"/>
  <c r="O1087" i="2"/>
  <c r="O672" i="2"/>
  <c r="O1094" i="2"/>
  <c r="O679" i="2"/>
  <c r="O1078" i="2"/>
  <c r="O971" i="2"/>
  <c r="O951" i="2"/>
  <c r="O931" i="2"/>
  <c r="O883" i="2"/>
  <c r="O809" i="2"/>
  <c r="O796" i="2" s="1"/>
  <c r="O1075" i="2"/>
  <c r="O928" i="2"/>
  <c r="O333" i="2"/>
  <c r="O164" i="2"/>
  <c r="O763" i="2"/>
  <c r="O606" i="2"/>
  <c r="O781" i="2"/>
  <c r="O808" i="2"/>
  <c r="O848" i="2"/>
  <c r="O794" i="2" s="1"/>
  <c r="O967" i="2" l="1"/>
  <c r="O586" i="2"/>
  <c r="O178" i="2"/>
  <c r="O247" i="2"/>
  <c r="O533" i="2"/>
  <c r="N850" i="2"/>
  <c r="N854" i="2"/>
  <c r="O688" i="2"/>
  <c r="O600" i="2"/>
  <c r="N510" i="2"/>
  <c r="N569" i="2" s="1"/>
  <c r="P1107" i="2"/>
  <c r="P693" i="2"/>
  <c r="P1093" i="2"/>
  <c r="P678" i="2"/>
  <c r="P931" i="2"/>
  <c r="P333" i="2"/>
  <c r="P848" i="2"/>
  <c r="P856" i="2" s="1"/>
  <c r="P1078" i="2"/>
  <c r="P164" i="2"/>
  <c r="P971" i="2"/>
  <c r="P533" i="2"/>
  <c r="P1075" i="2"/>
  <c r="P809" i="2"/>
  <c r="P883" i="2"/>
  <c r="P928" i="2"/>
  <c r="P951" i="2"/>
  <c r="P247" i="2"/>
  <c r="P64" i="2"/>
  <c r="P808" i="2"/>
  <c r="O64" i="2"/>
  <c r="N792" i="2"/>
  <c r="N855" i="2"/>
  <c r="P1091" i="2"/>
  <c r="P676" i="2"/>
  <c r="N685" i="2"/>
  <c r="O238" i="2"/>
  <c r="O1073" i="2"/>
  <c r="O923" i="2"/>
  <c r="O392" i="2"/>
  <c r="O944" i="2"/>
  <c r="O815" i="2"/>
  <c r="O844" i="2" s="1"/>
  <c r="O203" i="2"/>
  <c r="O51" i="2"/>
  <c r="O907" i="2"/>
  <c r="P1103" i="2"/>
  <c r="P689" i="2"/>
  <c r="Q1118" i="2"/>
  <c r="A3" i="2"/>
  <c r="E3" i="2"/>
  <c r="E1118" i="2" s="1"/>
  <c r="E578" i="2"/>
  <c r="E275" i="2"/>
  <c r="E273" i="2"/>
  <c r="O793" i="2"/>
  <c r="O800" i="2"/>
  <c r="O789" i="2"/>
  <c r="O799" i="2"/>
  <c r="O788" i="2"/>
  <c r="O797" i="2"/>
  <c r="O791" i="2"/>
  <c r="O790" i="2"/>
  <c r="O798" i="2"/>
  <c r="J311" i="2"/>
  <c r="M510" i="2"/>
  <c r="O997" i="2"/>
  <c r="O494" i="2"/>
  <c r="O1032" i="2" s="1"/>
  <c r="O777" i="2"/>
  <c r="M935" i="2"/>
  <c r="M396" i="2"/>
  <c r="O902" i="2"/>
  <c r="O379" i="2"/>
  <c r="O920" i="2" s="1"/>
  <c r="O1049" i="2"/>
  <c r="O554" i="2"/>
  <c r="O1067" i="2" s="1"/>
  <c r="P1092" i="2"/>
  <c r="P677" i="2"/>
  <c r="P1094" i="2"/>
  <c r="P679" i="2"/>
  <c r="N933" i="2"/>
  <c r="M857" i="2"/>
  <c r="O1070" i="2"/>
  <c r="O567" i="2"/>
  <c r="O1080" i="2" s="1"/>
  <c r="N606" i="2"/>
  <c r="P1105" i="2"/>
  <c r="P691" i="2"/>
  <c r="P1058" i="2"/>
  <c r="P1055" i="2"/>
  <c r="P912" i="2"/>
  <c r="P910" i="2"/>
  <c r="P908" i="2"/>
  <c r="P907" i="2"/>
  <c r="P905" i="2"/>
  <c r="P904" i="2"/>
  <c r="P903" i="2"/>
  <c r="P1062" i="2"/>
  <c r="P1057" i="2"/>
  <c r="P1050" i="2"/>
  <c r="P913" i="2"/>
  <c r="P1054" i="2"/>
  <c r="P1052" i="2"/>
  <c r="P1051" i="2"/>
  <c r="P911" i="2"/>
  <c r="P1059" i="2"/>
  <c r="P1056" i="2"/>
  <c r="P1061" i="2"/>
  <c r="P1060" i="2"/>
  <c r="P1053" i="2"/>
  <c r="P906" i="2"/>
  <c r="P915" i="2"/>
  <c r="P914" i="2"/>
  <c r="P909" i="2"/>
  <c r="O795" i="2"/>
  <c r="O769" i="2"/>
  <c r="O880" i="2"/>
  <c r="O358" i="2"/>
  <c r="O1037" i="2"/>
  <c r="O508" i="2"/>
  <c r="O1046" i="2" s="1"/>
  <c r="O847" i="2"/>
  <c r="O632" i="2"/>
  <c r="O634" i="2" s="1"/>
  <c r="O692" i="2"/>
  <c r="O415" i="2"/>
  <c r="O774" i="2" s="1"/>
  <c r="O949" i="2"/>
  <c r="O30" i="2"/>
  <c r="O926" i="2"/>
  <c r="O1041" i="2"/>
  <c r="L636" i="2"/>
  <c r="O908" i="2"/>
  <c r="O225" i="2"/>
  <c r="N774" i="2"/>
  <c r="P1104" i="2"/>
  <c r="P690" i="2"/>
  <c r="P1096" i="2"/>
  <c r="P681" i="2"/>
  <c r="P1088" i="2"/>
  <c r="P673" i="2"/>
  <c r="P1098" i="2"/>
  <c r="P683" i="2"/>
  <c r="P1090" i="2"/>
  <c r="P675" i="2"/>
  <c r="P1087" i="2"/>
  <c r="P672" i="2"/>
  <c r="N899" i="2"/>
  <c r="N394" i="2"/>
  <c r="O856" i="2"/>
  <c r="O441" i="2" l="1"/>
  <c r="N857" i="2"/>
  <c r="N309" i="2" s="1"/>
  <c r="N311" i="2" s="1"/>
  <c r="P178" i="2"/>
  <c r="P949" i="2"/>
  <c r="P238" i="2"/>
  <c r="P203" i="2"/>
  <c r="E1093" i="2"/>
  <c r="E678" i="2"/>
  <c r="O850" i="2"/>
  <c r="O854" i="2"/>
  <c r="P1049" i="2"/>
  <c r="P554" i="2"/>
  <c r="P1067" i="2" s="1"/>
  <c r="Q1098" i="2"/>
  <c r="Q683" i="2"/>
  <c r="E584" i="2"/>
  <c r="Q1088" i="2"/>
  <c r="Q673" i="2"/>
  <c r="E573" i="2"/>
  <c r="P688" i="2"/>
  <c r="P600" i="2"/>
  <c r="P880" i="2"/>
  <c r="P358" i="2"/>
  <c r="P967" i="2"/>
  <c r="O66" i="2"/>
  <c r="O899" i="2"/>
  <c r="O394" i="2"/>
  <c r="M569" i="2"/>
  <c r="Q1105" i="2"/>
  <c r="Q691" i="2"/>
  <c r="E592" i="2"/>
  <c r="Q1094" i="2"/>
  <c r="Q679" i="2"/>
  <c r="E579" i="2"/>
  <c r="Q1103" i="2"/>
  <c r="Q689" i="2"/>
  <c r="E590" i="2"/>
  <c r="O510" i="2"/>
  <c r="O569" i="2" s="1"/>
  <c r="O636" i="2" s="1"/>
  <c r="P30" i="2"/>
  <c r="O792" i="2"/>
  <c r="O855" i="2"/>
  <c r="Q1096" i="2"/>
  <c r="Q681" i="2"/>
  <c r="E581" i="2"/>
  <c r="Q1087" i="2"/>
  <c r="Q672" i="2"/>
  <c r="E572" i="2"/>
  <c r="P1120" i="2"/>
  <c r="Q1120" i="2"/>
  <c r="P1041" i="2"/>
  <c r="P926" i="2"/>
  <c r="P796" i="2"/>
  <c r="P692" i="2"/>
  <c r="P415" i="2"/>
  <c r="P774" i="2" s="1"/>
  <c r="P225" i="2"/>
  <c r="Q1104" i="2"/>
  <c r="Q690" i="2"/>
  <c r="E591" i="2"/>
  <c r="E1256" i="2"/>
  <c r="E1212" i="2"/>
  <c r="E1209" i="2"/>
  <c r="E1127" i="2"/>
  <c r="E1143" i="2"/>
  <c r="E1151" i="2"/>
  <c r="E1135" i="2"/>
  <c r="E660" i="2"/>
  <c r="E245" i="2"/>
  <c r="E62" i="2"/>
  <c r="E59" i="2"/>
  <c r="E81" i="2"/>
  <c r="E57" i="2"/>
  <c r="E236" i="2"/>
  <c r="E76" i="2"/>
  <c r="E103" i="2"/>
  <c r="E48" i="2"/>
  <c r="E173" i="2"/>
  <c r="E222" i="2"/>
  <c r="E713" i="2"/>
  <c r="E1246" i="2"/>
  <c r="E825" i="2"/>
  <c r="E1259" i="2"/>
  <c r="E83" i="2"/>
  <c r="E99" i="2"/>
  <c r="E657" i="2"/>
  <c r="E1258" i="2"/>
  <c r="E1167" i="2"/>
  <c r="E1199" i="2"/>
  <c r="E1257" i="2"/>
  <c r="E527" i="2"/>
  <c r="E664" i="2"/>
  <c r="E1211" i="2"/>
  <c r="E1210" i="2"/>
  <c r="E1245" i="2"/>
  <c r="E197" i="2"/>
  <c r="E233" i="2"/>
  <c r="E171" i="2"/>
  <c r="E231" i="2"/>
  <c r="E1159" i="2"/>
  <c r="E14" i="2"/>
  <c r="E47" i="2"/>
  <c r="E708" i="2"/>
  <c r="E720" i="2"/>
  <c r="E702" i="2"/>
  <c r="E716" i="2"/>
  <c r="P769" i="2"/>
  <c r="P795" i="2"/>
  <c r="P781" i="2"/>
  <c r="P794" i="2"/>
  <c r="L639" i="2"/>
  <c r="L638" i="2" s="1"/>
  <c r="P51" i="2"/>
  <c r="Q1090" i="2"/>
  <c r="Q675" i="2"/>
  <c r="E575" i="2"/>
  <c r="P997" i="2"/>
  <c r="P494" i="2"/>
  <c r="P1032" i="2" s="1"/>
  <c r="P1070" i="2"/>
  <c r="P567" i="2"/>
  <c r="P1080" i="2" s="1"/>
  <c r="P1073" i="2"/>
  <c r="N935" i="2"/>
  <c r="N396" i="2"/>
  <c r="P586" i="2"/>
  <c r="O685" i="2"/>
  <c r="P902" i="2"/>
  <c r="P379" i="2"/>
  <c r="P920" i="2" s="1"/>
  <c r="M309" i="2"/>
  <c r="Q1107" i="2"/>
  <c r="Q693" i="2"/>
  <c r="E594" i="2"/>
  <c r="Q1091" i="2"/>
  <c r="Q676" i="2"/>
  <c r="E576" i="2"/>
  <c r="Q1093" i="2"/>
  <c r="Q678" i="2"/>
  <c r="Q1092" i="2"/>
  <c r="Q677" i="2"/>
  <c r="E577" i="2"/>
  <c r="Q759" i="2"/>
  <c r="E728" i="2"/>
  <c r="E219" i="2"/>
  <c r="E218" i="2"/>
  <c r="E217" i="2"/>
  <c r="E216" i="2"/>
  <c r="E215" i="2"/>
  <c r="E214" i="2"/>
  <c r="E213" i="2"/>
  <c r="E212" i="2"/>
  <c r="E208" i="2"/>
  <c r="E207" i="2"/>
  <c r="E37" i="2"/>
  <c r="E210" i="2"/>
  <c r="E38" i="2"/>
  <c r="E35" i="2"/>
  <c r="E209" i="2"/>
  <c r="E45" i="2"/>
  <c r="E46" i="2"/>
  <c r="E43" i="2"/>
  <c r="E41" i="2"/>
  <c r="E40" i="2"/>
  <c r="E44" i="2"/>
  <c r="E42" i="2"/>
  <c r="E36" i="2"/>
  <c r="E34" i="2"/>
  <c r="E211" i="2"/>
  <c r="E39" i="2"/>
  <c r="O933" i="2"/>
  <c r="P1037" i="2"/>
  <c r="P508" i="2"/>
  <c r="P944" i="2"/>
  <c r="P815" i="2"/>
  <c r="P844" i="2" s="1"/>
  <c r="P441" i="2"/>
  <c r="P923" i="2"/>
  <c r="P392" i="2"/>
  <c r="P933" i="2" s="1"/>
  <c r="P763" i="2"/>
  <c r="P847" i="2"/>
  <c r="P632" i="2"/>
  <c r="P634" i="2" s="1"/>
  <c r="P606" i="2"/>
  <c r="N636" i="2"/>
  <c r="N639" i="2" s="1"/>
  <c r="N638" i="2" s="1"/>
  <c r="P1046" i="2" l="1"/>
  <c r="O857" i="2"/>
  <c r="O309" i="2" s="1"/>
  <c r="O311" i="2" s="1"/>
  <c r="P850" i="2"/>
  <c r="P854" i="2"/>
  <c r="Q1052" i="2"/>
  <c r="E539" i="2"/>
  <c r="E1052" i="2" s="1"/>
  <c r="Q915" i="2"/>
  <c r="E374" i="2"/>
  <c r="E915" i="2" s="1"/>
  <c r="Q909" i="2"/>
  <c r="E368" i="2"/>
  <c r="E909" i="2" s="1"/>
  <c r="Q1057" i="2"/>
  <c r="E544" i="2"/>
  <c r="E1057" i="2" s="1"/>
  <c r="Q997" i="2"/>
  <c r="Q494" i="2"/>
  <c r="E459" i="2"/>
  <c r="Q967" i="2"/>
  <c r="E429" i="2"/>
  <c r="E967" i="2" s="1"/>
  <c r="Q777" i="2"/>
  <c r="E747" i="2"/>
  <c r="Q763" i="2"/>
  <c r="E733" i="2"/>
  <c r="Q247" i="2"/>
  <c r="E247" i="2" s="1"/>
  <c r="E243" i="2"/>
  <c r="Q931" i="2"/>
  <c r="E390" i="2"/>
  <c r="E931" i="2" s="1"/>
  <c r="E1105" i="2"/>
  <c r="E691" i="2"/>
  <c r="M636" i="2"/>
  <c r="Q1060" i="2"/>
  <c r="E547" i="2"/>
  <c r="E1060" i="2" s="1"/>
  <c r="E1090" i="2"/>
  <c r="E675" i="2"/>
  <c r="E574" i="2"/>
  <c r="E74" i="2"/>
  <c r="Q164" i="2"/>
  <c r="E164" i="2" s="1"/>
  <c r="E129" i="2"/>
  <c r="Q949" i="2"/>
  <c r="E411" i="2"/>
  <c r="E949" i="2" s="1"/>
  <c r="Q951" i="2"/>
  <c r="E413" i="2"/>
  <c r="E951" i="2" s="1"/>
  <c r="Q1078" i="2"/>
  <c r="E565" i="2"/>
  <c r="E1078" i="2" s="1"/>
  <c r="Q809" i="2"/>
  <c r="E622" i="2"/>
  <c r="E796" i="2" s="1"/>
  <c r="E1104" i="2"/>
  <c r="E690" i="2"/>
  <c r="Q800" i="2"/>
  <c r="Q789" i="2"/>
  <c r="Q793" i="2"/>
  <c r="Q799" i="2"/>
  <c r="Q790" i="2"/>
  <c r="Q798" i="2"/>
  <c r="Q788" i="2"/>
  <c r="Q797" i="2"/>
  <c r="Q791" i="2"/>
  <c r="E1120" i="2"/>
  <c r="E759" i="2" s="1"/>
  <c r="E1094" i="2"/>
  <c r="E679" i="2"/>
  <c r="O935" i="2"/>
  <c r="O396" i="2"/>
  <c r="O639" i="2" s="1"/>
  <c r="O638" i="2" s="1"/>
  <c r="Q51" i="2"/>
  <c r="E51" i="2" s="1"/>
  <c r="E33" i="2"/>
  <c r="Q912" i="2"/>
  <c r="E371" i="2"/>
  <c r="E912" i="2" s="1"/>
  <c r="Q903" i="2"/>
  <c r="E362" i="2"/>
  <c r="E903" i="2" s="1"/>
  <c r="Q902" i="2"/>
  <c r="Q379" i="2"/>
  <c r="E361" i="2"/>
  <c r="E902" i="2" s="1"/>
  <c r="Q914" i="2"/>
  <c r="E373" i="2"/>
  <c r="E914" i="2" s="1"/>
  <c r="Q913" i="2"/>
  <c r="E372" i="2"/>
  <c r="E913" i="2" s="1"/>
  <c r="Q1053" i="2"/>
  <c r="E540" i="2"/>
  <c r="E1053" i="2" s="1"/>
  <c r="Q1062" i="2"/>
  <c r="E549" i="2"/>
  <c r="E1062" i="2" s="1"/>
  <c r="E1092" i="2"/>
  <c r="E677" i="2"/>
  <c r="E1107" i="2"/>
  <c r="E693" i="2"/>
  <c r="M311" i="2"/>
  <c r="Q1070" i="2"/>
  <c r="Q567" i="2"/>
  <c r="E557" i="2"/>
  <c r="Q769" i="2"/>
  <c r="E739" i="2"/>
  <c r="Q600" i="2"/>
  <c r="Q688" i="2"/>
  <c r="E589" i="2"/>
  <c r="Q692" i="2"/>
  <c r="Q415" i="2"/>
  <c r="Q774" i="2" s="1"/>
  <c r="E593" i="2"/>
  <c r="Q30" i="2"/>
  <c r="E11" i="2"/>
  <c r="Q848" i="2"/>
  <c r="E620" i="2"/>
  <c r="E794" i="2" s="1"/>
  <c r="E744" i="2"/>
  <c r="Q178" i="2"/>
  <c r="E178" i="2" s="1"/>
  <c r="E169" i="2"/>
  <c r="Q1041" i="2"/>
  <c r="E503" i="2"/>
  <c r="E1041" i="2" s="1"/>
  <c r="P685" i="2"/>
  <c r="P793" i="2"/>
  <c r="P789" i="2"/>
  <c r="P800" i="2"/>
  <c r="P797" i="2"/>
  <c r="P791" i="2"/>
  <c r="P788" i="2"/>
  <c r="P790" i="2"/>
  <c r="P798" i="2"/>
  <c r="P799" i="2"/>
  <c r="P759" i="2"/>
  <c r="P66" i="2"/>
  <c r="E1103" i="2"/>
  <c r="E689" i="2"/>
  <c r="P899" i="2"/>
  <c r="P394" i="2"/>
  <c r="Q904" i="2"/>
  <c r="E363" i="2"/>
  <c r="E904" i="2" s="1"/>
  <c r="Q1061" i="2"/>
  <c r="E548" i="2"/>
  <c r="E1061" i="2" s="1"/>
  <c r="Q1058" i="2"/>
  <c r="E545" i="2"/>
  <c r="E1058" i="2" s="1"/>
  <c r="Q944" i="2"/>
  <c r="Q815" i="2"/>
  <c r="E815" i="2" s="1"/>
  <c r="E406" i="2"/>
  <c r="E944" i="2" s="1"/>
  <c r="E580" i="2"/>
  <c r="Q883" i="2"/>
  <c r="E342" i="2"/>
  <c r="E883" i="2" s="1"/>
  <c r="Q926" i="2"/>
  <c r="E385" i="2"/>
  <c r="E926" i="2" s="1"/>
  <c r="Q1075" i="2"/>
  <c r="E562" i="2"/>
  <c r="E1075" i="2" s="1"/>
  <c r="Q586" i="2"/>
  <c r="E1088" i="2"/>
  <c r="E673" i="2"/>
  <c r="Q907" i="2"/>
  <c r="E366" i="2"/>
  <c r="E907" i="2" s="1"/>
  <c r="Q1054" i="2"/>
  <c r="E541" i="2"/>
  <c r="E1054" i="2" s="1"/>
  <c r="Q905" i="2"/>
  <c r="E364" i="2"/>
  <c r="E905" i="2" s="1"/>
  <c r="Q1059" i="2"/>
  <c r="E546" i="2"/>
  <c r="E1059" i="2" s="1"/>
  <c r="Q911" i="2"/>
  <c r="E370" i="2"/>
  <c r="E911" i="2" s="1"/>
  <c r="Q554" i="2"/>
  <c r="Q1049" i="2"/>
  <c r="E536" i="2"/>
  <c r="E1049" i="2" s="1"/>
  <c r="Q238" i="2"/>
  <c r="E238" i="2" s="1"/>
  <c r="E228" i="2"/>
  <c r="Q808" i="2"/>
  <c r="E621" i="2"/>
  <c r="E795" i="2" s="1"/>
  <c r="Q781" i="2"/>
  <c r="E751" i="2"/>
  <c r="Q203" i="2"/>
  <c r="E203" i="2" s="1"/>
  <c r="E192" i="2"/>
  <c r="Q847" i="2"/>
  <c r="Q632" i="2"/>
  <c r="E618" i="2"/>
  <c r="E792" i="2" s="1"/>
  <c r="Q971" i="2"/>
  <c r="E433" i="2"/>
  <c r="E971" i="2" s="1"/>
  <c r="P792" i="2"/>
  <c r="P855" i="2"/>
  <c r="P510" i="2"/>
  <c r="P569" i="2" s="1"/>
  <c r="P636" i="2" s="1"/>
  <c r="Q225" i="2"/>
  <c r="E225" i="2" s="1"/>
  <c r="E206" i="2"/>
  <c r="Q910" i="2"/>
  <c r="E369" i="2"/>
  <c r="E910" i="2" s="1"/>
  <c r="Q1055" i="2"/>
  <c r="E542" i="2"/>
  <c r="E1055" i="2" s="1"/>
  <c r="Q908" i="2"/>
  <c r="E367" i="2"/>
  <c r="E908" i="2" s="1"/>
  <c r="Q906" i="2"/>
  <c r="E365" i="2"/>
  <c r="E906" i="2" s="1"/>
  <c r="Q1051" i="2"/>
  <c r="E538" i="2"/>
  <c r="E1051" i="2" s="1"/>
  <c r="Q1050" i="2"/>
  <c r="E537" i="2"/>
  <c r="E1050" i="2" s="1"/>
  <c r="Q1056" i="2"/>
  <c r="E543" i="2"/>
  <c r="E1056" i="2" s="1"/>
  <c r="E1091" i="2"/>
  <c r="E676" i="2"/>
  <c r="Q928" i="2"/>
  <c r="E387" i="2"/>
  <c r="E928" i="2" s="1"/>
  <c r="Q1073" i="2"/>
  <c r="E560" i="2"/>
  <c r="E1073" i="2" s="1"/>
  <c r="Q1037" i="2"/>
  <c r="Q508" i="2"/>
  <c r="E499" i="2"/>
  <c r="Q533" i="2"/>
  <c r="E533" i="2" s="1"/>
  <c r="E522" i="2"/>
  <c r="Q64" i="2"/>
  <c r="E64" i="2" s="1"/>
  <c r="E54" i="2"/>
  <c r="Q880" i="2"/>
  <c r="Q358" i="2"/>
  <c r="E339" i="2"/>
  <c r="Q923" i="2"/>
  <c r="Q392" i="2"/>
  <c r="E382" i="2"/>
  <c r="Q333" i="2"/>
  <c r="E332" i="2"/>
  <c r="E1087" i="2"/>
  <c r="E672" i="2"/>
  <c r="E1096" i="2"/>
  <c r="E681" i="2"/>
  <c r="P777" i="2"/>
  <c r="E1098" i="2"/>
  <c r="E683" i="2"/>
  <c r="E1070" i="2" l="1"/>
  <c r="E1037" i="2"/>
  <c r="Q792" i="2"/>
  <c r="E847" i="2"/>
  <c r="Q855" i="2"/>
  <c r="E855" i="2" s="1"/>
  <c r="E586" i="2"/>
  <c r="E600" i="2"/>
  <c r="M639" i="2"/>
  <c r="M638" i="2" s="1"/>
  <c r="E763" i="2"/>
  <c r="E880" i="2"/>
  <c r="Q1046" i="2"/>
  <c r="E508" i="2"/>
  <c r="E1046" i="2" s="1"/>
  <c r="Q795" i="2"/>
  <c r="Q844" i="2"/>
  <c r="E808" i="2"/>
  <c r="Q66" i="2"/>
  <c r="E66" i="2" s="1"/>
  <c r="E30" i="2"/>
  <c r="Q1080" i="2"/>
  <c r="E567" i="2"/>
  <c r="E1080" i="2" s="1"/>
  <c r="P857" i="2"/>
  <c r="P309" i="2" s="1"/>
  <c r="Q933" i="2"/>
  <c r="E392" i="2"/>
  <c r="E933" i="2" s="1"/>
  <c r="P935" i="2"/>
  <c r="P396" i="2"/>
  <c r="P639" i="2" s="1"/>
  <c r="P638" i="2" s="1"/>
  <c r="Q794" i="2"/>
  <c r="E848" i="2"/>
  <c r="Q856" i="2"/>
  <c r="E856" i="2" s="1"/>
  <c r="Q685" i="2"/>
  <c r="E415" i="2"/>
  <c r="E774" i="2" s="1"/>
  <c r="Q1032" i="2"/>
  <c r="E494" i="2"/>
  <c r="E1032" i="2" s="1"/>
  <c r="E858" i="2"/>
  <c r="E333" i="2"/>
  <c r="Q796" i="2"/>
  <c r="E809" i="2"/>
  <c r="Q606" i="2"/>
  <c r="E606" i="2" s="1"/>
  <c r="E603" i="2"/>
  <c r="E923" i="2"/>
  <c r="Q899" i="2"/>
  <c r="Q394" i="2"/>
  <c r="E358" i="2"/>
  <c r="Q634" i="2"/>
  <c r="E632" i="2"/>
  <c r="E634" i="2" s="1"/>
  <c r="E781" i="2"/>
  <c r="Q1067" i="2"/>
  <c r="E554" i="2"/>
  <c r="E1067" i="2" s="1"/>
  <c r="Q441" i="2"/>
  <c r="E692" i="2"/>
  <c r="E688" i="2"/>
  <c r="E769" i="2"/>
  <c r="Q920" i="2"/>
  <c r="E379" i="2"/>
  <c r="E920" i="2" s="1"/>
  <c r="E777" i="2"/>
  <c r="E997" i="2"/>
  <c r="E899" i="2" l="1"/>
  <c r="Q510" i="2"/>
  <c r="E441" i="2"/>
  <c r="Q850" i="2"/>
  <c r="E850" i="2" s="1"/>
  <c r="E844" i="2"/>
  <c r="Q854" i="2"/>
  <c r="Q935" i="2"/>
  <c r="Q396" i="2"/>
  <c r="E396" i="2" s="1"/>
  <c r="E394" i="2"/>
  <c r="E935" i="2" s="1"/>
  <c r="P311" i="2"/>
  <c r="E685" i="2"/>
  <c r="Q857" i="2" l="1"/>
  <c r="E854" i="2"/>
  <c r="Q569" i="2"/>
  <c r="E510" i="2"/>
  <c r="Q636" i="2" l="1"/>
  <c r="E569" i="2"/>
  <c r="Q309" i="2"/>
  <c r="E857" i="2"/>
  <c r="Q311" i="2" l="1"/>
  <c r="E311" i="2" s="1"/>
  <c r="E309" i="2"/>
  <c r="Q639" i="2"/>
  <c r="Q638" i="2" s="1"/>
  <c r="E636" i="2"/>
  <c r="E639" i="2" s="1"/>
  <c r="E638" i="2" s="1"/>
  <c r="F953" i="2" l="1"/>
  <c r="F111" i="2"/>
  <c r="G111" i="2" l="1"/>
  <c r="G953" i="2"/>
  <c r="F180" i="2"/>
  <c r="F979" i="2"/>
  <c r="F240" i="2" l="1"/>
  <c r="G180" i="2"/>
  <c r="G240" i="2" s="1"/>
  <c r="G979" i="2"/>
  <c r="H111" i="2"/>
  <c r="H953" i="2"/>
  <c r="H180" i="2" l="1"/>
  <c r="H240" i="2" s="1"/>
  <c r="H979" i="2"/>
  <c r="J111" i="2" l="1"/>
  <c r="J953" i="2"/>
  <c r="J180" i="2" l="1"/>
  <c r="J240" i="2" s="1"/>
  <c r="J979" i="2"/>
  <c r="M111" i="2" l="1"/>
  <c r="M953" i="2"/>
  <c r="N111" i="2"/>
  <c r="N953" i="2"/>
  <c r="N180" i="2" l="1"/>
  <c r="N240" i="2" s="1"/>
  <c r="N979" i="2"/>
  <c r="O111" i="2"/>
  <c r="O953" i="2"/>
  <c r="M180" i="2"/>
  <c r="M240" i="2" s="1"/>
  <c r="M979" i="2"/>
  <c r="P953" i="2"/>
  <c r="O180" i="2" l="1"/>
  <c r="O240" i="2" s="1"/>
  <c r="O979" i="2"/>
  <c r="P111" i="2"/>
  <c r="E107" i="2" l="1"/>
  <c r="P180" i="2"/>
  <c r="P240" i="2" s="1"/>
  <c r="P979" i="2"/>
  <c r="E282" i="2" l="1"/>
  <c r="E283" i="2"/>
  <c r="Q111" i="2"/>
  <c r="Q953" i="2"/>
  <c r="E281" i="2"/>
  <c r="E280" i="2" l="1"/>
  <c r="K111" i="2"/>
  <c r="K953" i="2"/>
  <c r="E268" i="2"/>
  <c r="E270" i="2"/>
  <c r="L111" i="2"/>
  <c r="L953" i="2"/>
  <c r="Q180" i="2"/>
  <c r="Q240" i="2" s="1"/>
  <c r="Q979" i="2"/>
  <c r="I111" i="2"/>
  <c r="I953" i="2"/>
  <c r="E85" i="2"/>
  <c r="E953" i="2" s="1"/>
  <c r="E272" i="2"/>
  <c r="E269" i="2"/>
  <c r="H1102" i="2" l="1"/>
  <c r="M1102" i="2"/>
  <c r="P1102" i="2"/>
  <c r="G1102" i="2"/>
  <c r="K1102" i="2"/>
  <c r="O1102" i="2"/>
  <c r="L1102" i="2"/>
  <c r="I1102" i="2"/>
  <c r="L180" i="2"/>
  <c r="L240" i="2" s="1"/>
  <c r="L979" i="2"/>
  <c r="Q1102" i="2"/>
  <c r="N1102" i="2"/>
  <c r="J1102" i="2"/>
  <c r="I180" i="2"/>
  <c r="I979" i="2"/>
  <c r="E111" i="2"/>
  <c r="E979" i="2" s="1"/>
  <c r="E267" i="2"/>
  <c r="E1102" i="2" s="1"/>
  <c r="F1102" i="2"/>
  <c r="K180" i="2"/>
  <c r="K240" i="2" s="1"/>
  <c r="K979" i="2"/>
  <c r="I240" i="2" l="1"/>
  <c r="E180" i="2"/>
  <c r="E240" i="2" l="1"/>
  <c r="P1106" i="2" l="1"/>
  <c r="P278" i="2"/>
  <c r="P288" i="2" s="1"/>
  <c r="P1113" i="2" s="1"/>
  <c r="J1106" i="2"/>
  <c r="J278" i="2"/>
  <c r="J288" i="2" s="1"/>
  <c r="J1113" i="2" s="1"/>
  <c r="O1106" i="2"/>
  <c r="O278" i="2"/>
  <c r="O288" i="2" s="1"/>
  <c r="O1113" i="2" s="1"/>
  <c r="E271" i="2"/>
  <c r="E1106" i="2" s="1"/>
  <c r="F1106" i="2"/>
  <c r="F278" i="2"/>
  <c r="I1106" i="2"/>
  <c r="I278" i="2"/>
  <c r="I288" i="2" s="1"/>
  <c r="I1113" i="2" s="1"/>
  <c r="G1106" i="2"/>
  <c r="G278" i="2"/>
  <c r="G288" i="2" s="1"/>
  <c r="G1113" i="2" s="1"/>
  <c r="N1106" i="2"/>
  <c r="N278" i="2"/>
  <c r="N288" i="2" s="1"/>
  <c r="N1113" i="2" s="1"/>
  <c r="M1106" i="2"/>
  <c r="M278" i="2"/>
  <c r="M288" i="2" s="1"/>
  <c r="M1113" i="2" s="1"/>
  <c r="L1106" i="2"/>
  <c r="L278" i="2"/>
  <c r="L288" i="2" s="1"/>
  <c r="L1113" i="2" s="1"/>
  <c r="H1106" i="2"/>
  <c r="H278" i="2"/>
  <c r="H288" i="2" s="1"/>
  <c r="H1113" i="2" s="1"/>
  <c r="K1106" i="2"/>
  <c r="K278" i="2"/>
  <c r="K288" i="2" s="1"/>
  <c r="K1113" i="2" s="1"/>
  <c r="Q1106" i="2"/>
  <c r="Q278" i="2"/>
  <c r="Q288" i="2" s="1"/>
  <c r="Q1113" i="2" s="1"/>
  <c r="F288" i="2" l="1"/>
  <c r="E278" i="2"/>
  <c r="E288" i="2" l="1"/>
  <c r="E1113" i="2" s="1"/>
  <c r="F1113" i="2"/>
  <c r="P674" i="2" l="1"/>
  <c r="Q680" i="2"/>
  <c r="O680" i="2"/>
  <c r="Q674" i="2"/>
  <c r="M674" i="2"/>
  <c r="O674" i="2"/>
  <c r="I680" i="2"/>
  <c r="G680" i="2"/>
  <c r="E643" i="2" l="1"/>
  <c r="J674" i="2"/>
  <c r="N674" i="2"/>
  <c r="L680" i="2"/>
  <c r="K680" i="2"/>
  <c r="F680" i="2"/>
  <c r="J680" i="2"/>
  <c r="G674" i="2"/>
  <c r="E645" i="2"/>
  <c r="E674" i="2" s="1"/>
  <c r="F674" i="2"/>
  <c r="P680" i="2"/>
  <c r="M680" i="2"/>
  <c r="K674" i="2"/>
  <c r="H674" i="2"/>
  <c r="E648" i="2"/>
  <c r="N680" i="2"/>
  <c r="I674" i="2"/>
  <c r="L674" i="2"/>
  <c r="H680" i="2"/>
  <c r="E646" i="2" l="1"/>
  <c r="E650" i="2"/>
  <c r="E647" i="2"/>
  <c r="E644" i="2"/>
  <c r="E651" i="2"/>
  <c r="E680" i="2" s="1"/>
  <c r="E652" i="2"/>
  <c r="E655" i="2"/>
  <c r="E649" i="2"/>
  <c r="E255" i="2" l="1"/>
  <c r="E262" i="2"/>
  <c r="E251" i="2"/>
  <c r="E259" i="2"/>
  <c r="I1089" i="2" l="1"/>
  <c r="Q1095" i="2"/>
  <c r="I1095" i="2"/>
  <c r="H1095" i="2"/>
  <c r="G1089" i="2"/>
  <c r="H1089" i="2"/>
  <c r="G1095" i="2"/>
  <c r="J1095" i="2"/>
  <c r="K1095" i="2"/>
  <c r="N1089" i="2"/>
  <c r="K1089" i="2"/>
  <c r="Q1089" i="2"/>
  <c r="L1089" i="2"/>
  <c r="P1095" i="2"/>
  <c r="O1089" i="2"/>
  <c r="M1089" i="2"/>
  <c r="J1089" i="2"/>
  <c r="P1089" i="2"/>
  <c r="O1095" i="2"/>
  <c r="M1095" i="2"/>
  <c r="N1095" i="2"/>
  <c r="L1095" i="2"/>
  <c r="E258" i="2" l="1"/>
  <c r="E1095" i="2" s="1"/>
  <c r="F1095" i="2"/>
  <c r="E257" i="2"/>
  <c r="E252" i="2"/>
  <c r="E1089" i="2" s="1"/>
  <c r="F1089" i="2"/>
  <c r="E256" i="2"/>
  <c r="E253" i="2"/>
  <c r="E254" i="2"/>
  <c r="F264" i="2" l="1"/>
  <c r="F1100" i="2" l="1"/>
  <c r="F313" i="2"/>
  <c r="H264" i="2" l="1"/>
  <c r="J264" i="2"/>
  <c r="L264" i="2"/>
  <c r="P264" i="2"/>
  <c r="F315" i="2"/>
  <c r="N264" i="2"/>
  <c r="O264" i="2"/>
  <c r="I264" i="2"/>
  <c r="K264" i="2"/>
  <c r="Q264" i="2"/>
  <c r="M264" i="2"/>
  <c r="Q1100" i="2" l="1"/>
  <c r="Q313" i="2"/>
  <c r="Q315" i="2" s="1"/>
  <c r="I1100" i="2"/>
  <c r="I313" i="2"/>
  <c r="I315" i="2" s="1"/>
  <c r="N1100" i="2"/>
  <c r="N313" i="2"/>
  <c r="N315" i="2" s="1"/>
  <c r="P1100" i="2"/>
  <c r="P313" i="2"/>
  <c r="P315" i="2" s="1"/>
  <c r="J1100" i="2"/>
  <c r="J313" i="2"/>
  <c r="J315" i="2" s="1"/>
  <c r="M1100" i="2"/>
  <c r="M313" i="2"/>
  <c r="M315" i="2" s="1"/>
  <c r="K1100" i="2"/>
  <c r="K313" i="2"/>
  <c r="K315" i="2" s="1"/>
  <c r="O1100" i="2"/>
  <c r="O313" i="2"/>
  <c r="O315" i="2" s="1"/>
  <c r="L1100" i="2"/>
  <c r="L313" i="2"/>
  <c r="L315" i="2" s="1"/>
  <c r="H1100" i="2"/>
  <c r="H313" i="2"/>
  <c r="H315" i="2" s="1"/>
  <c r="G264" i="2" l="1"/>
  <c r="E250" i="2"/>
  <c r="G1100" i="2" l="1"/>
  <c r="G313" i="2"/>
  <c r="E264" i="2"/>
  <c r="E1100" i="2" s="1"/>
  <c r="G315" i="2" l="1"/>
  <c r="E313" i="2"/>
  <c r="E315" i="2" s="1"/>
</calcChain>
</file>

<file path=xl/comments1.xml><?xml version="1.0" encoding="utf-8"?>
<comments xmlns="http://schemas.openxmlformats.org/spreadsheetml/2006/main">
  <authors>
    <author>Michael Stack</author>
  </authors>
  <commentList>
    <comment ref="V66" authorId="0">
      <text>
        <r>
          <rPr>
            <sz val="8"/>
            <color indexed="81"/>
            <rFont val="Tahoma"/>
            <family val="2"/>
          </rPr>
          <t>Place holder for Check Dollars</t>
        </r>
      </text>
    </comment>
    <comment ref="V394" authorId="0">
      <text>
        <r>
          <rPr>
            <sz val="8"/>
            <color indexed="81"/>
            <rFont val="Tahoma"/>
            <family val="2"/>
          </rPr>
          <t>Place holder for Check MWh</t>
        </r>
      </text>
    </comment>
  </commentList>
</comments>
</file>

<file path=xl/sharedStrings.xml><?xml version="1.0" encoding="utf-8"?>
<sst xmlns="http://schemas.openxmlformats.org/spreadsheetml/2006/main" count="1918" uniqueCount="714">
  <si>
    <t>PacifiCorp</t>
  </si>
  <si>
    <t>Washington General Rate Case - December 2013</t>
  </si>
  <si>
    <t>Allocation Factors</t>
  </si>
  <si>
    <t>12 Months Ended March 2016</t>
  </si>
  <si>
    <t>As Filed</t>
  </si>
  <si>
    <t>WCA</t>
  </si>
  <si>
    <t>WA</t>
  </si>
  <si>
    <t>FERC</t>
  </si>
  <si>
    <t>Alloc.</t>
  </si>
  <si>
    <t>Total West</t>
  </si>
  <si>
    <t>Washington</t>
  </si>
  <si>
    <t>Description</t>
  </si>
  <si>
    <t>Account</t>
  </si>
  <si>
    <t>Factor</t>
  </si>
  <si>
    <t>%</t>
  </si>
  <si>
    <t>Control Area</t>
  </si>
  <si>
    <t>Allocated</t>
  </si>
  <si>
    <t>Sales for Resale  (Account 447)</t>
  </si>
  <si>
    <t>Existing Firm Sales - Pacific</t>
  </si>
  <si>
    <t>447NPC</t>
  </si>
  <si>
    <t>CAGW</t>
  </si>
  <si>
    <t>Post-Merger Firm Sales</t>
  </si>
  <si>
    <t>Non-Firm Sales</t>
  </si>
  <si>
    <t>CAEW</t>
  </si>
  <si>
    <t>Total Sales for Resale</t>
  </si>
  <si>
    <t>Purchased Power (Account 555)</t>
  </si>
  <si>
    <t>Existing Firm Demand - Pacific</t>
  </si>
  <si>
    <t>555NPC</t>
  </si>
  <si>
    <t>Existing Firm Energy</t>
  </si>
  <si>
    <t>WA Qualifying Facilities</t>
  </si>
  <si>
    <t>Post-Merger Firm Energy</t>
  </si>
  <si>
    <t>Other Generation Expenses</t>
  </si>
  <si>
    <t>Total Purchased Power</t>
  </si>
  <si>
    <t>Wheeling (Account 565)</t>
  </si>
  <si>
    <t>Existing Firm - Pacific</t>
  </si>
  <si>
    <t>565NPC</t>
  </si>
  <si>
    <t>Post Merger Firm</t>
  </si>
  <si>
    <t>Non Firm</t>
  </si>
  <si>
    <t>Total Wheeling Expense</t>
  </si>
  <si>
    <t>Fuel Expense (Accounts 501 and 547)</t>
  </si>
  <si>
    <t>Fuel Consumed - Coal</t>
  </si>
  <si>
    <t>501NPC</t>
  </si>
  <si>
    <t>Fuel Consumed - Natural Gas</t>
  </si>
  <si>
    <t>547NPC</t>
  </si>
  <si>
    <t>Total Fuel and Other Expense</t>
  </si>
  <si>
    <t>Total Net Power Costs</t>
  </si>
  <si>
    <t>Production Factor Adjustment</t>
  </si>
  <si>
    <t>Net WA-Allocated Net Power Cost</t>
  </si>
  <si>
    <t>Net Power Cost Analysis</t>
  </si>
  <si>
    <t>Hide</t>
  </si>
  <si>
    <t>Rows</t>
  </si>
  <si>
    <t>Special Sales For Resale</t>
  </si>
  <si>
    <t>Long Term Firm Sales</t>
  </si>
  <si>
    <t>GRID LTC ($)</t>
  </si>
  <si>
    <t>Fixed Cost</t>
  </si>
  <si>
    <t>Black Hills s27013/s28160</t>
  </si>
  <si>
    <t>Black Hills</t>
  </si>
  <si>
    <t>Black Hills Losses</t>
  </si>
  <si>
    <t>BPA Wind s42818</t>
  </si>
  <si>
    <t>BPA Wind Sale</t>
  </si>
  <si>
    <t>East Area Sales (WCA Sale)</t>
  </si>
  <si>
    <t>East Control Area Sale</t>
  </si>
  <si>
    <t>Hurricane Sale s393046</t>
  </si>
  <si>
    <t>Hurricane Sale</t>
  </si>
  <si>
    <t>LADWP (IPP Layoff)</t>
  </si>
  <si>
    <t>IPP Sale (LADWP)</t>
  </si>
  <si>
    <t>Leaning Juniper Revenue</t>
  </si>
  <si>
    <t>NVE s811499</t>
  </si>
  <si>
    <t>Pacific Gas &amp; Electric s524491</t>
  </si>
  <si>
    <t>Pacific Gas and Electric s524491</t>
  </si>
  <si>
    <t>PSCO s100035</t>
  </si>
  <si>
    <t>PSCo Sale summer</t>
  </si>
  <si>
    <t>PSCo Sale winter</t>
  </si>
  <si>
    <t>Salt River Project s322940</t>
  </si>
  <si>
    <t>Salt River Project</t>
  </si>
  <si>
    <t>SCE s513948</t>
  </si>
  <si>
    <t>SDG&amp;E s513949</t>
  </si>
  <si>
    <t>SDGE s513949</t>
  </si>
  <si>
    <t>Shell Sale 2013-2014</t>
  </si>
  <si>
    <t>SMUD s24296</t>
  </si>
  <si>
    <t>SMUD</t>
  </si>
  <si>
    <t>SMUD PROVISIONAL</t>
  </si>
  <si>
    <t>SMUD Monthly (contract price)</t>
  </si>
  <si>
    <t>SMUD Monthly (imputed price)</t>
  </si>
  <si>
    <t>Warning: formula modified for imputed revenue</t>
  </si>
  <si>
    <t>UAMPS s223863</t>
  </si>
  <si>
    <t>UMPA II s45631</t>
  </si>
  <si>
    <t>UMPA II</t>
  </si>
  <si>
    <t>Short Term Firm Sales</t>
  </si>
  <si>
    <t>GRID ST Firm Sales ($)</t>
  </si>
  <si>
    <t>COB</t>
  </si>
  <si>
    <t>Colorado</t>
  </si>
  <si>
    <t>Tri-State MP</t>
  </si>
  <si>
    <t>Four Corners</t>
  </si>
  <si>
    <t>APS</t>
  </si>
  <si>
    <t>Idaho</t>
  </si>
  <si>
    <t>Goshen</t>
  </si>
  <si>
    <t>Path C</t>
  </si>
  <si>
    <t>Brady</t>
  </si>
  <si>
    <t>IPC West</t>
  </si>
  <si>
    <t>Mead</t>
  </si>
  <si>
    <t>Mid Columbia</t>
  </si>
  <si>
    <t>BPA FPT</t>
  </si>
  <si>
    <t>Mona</t>
  </si>
  <si>
    <t>NOB</t>
  </si>
  <si>
    <t>Palo Verde</t>
  </si>
  <si>
    <t>Cholla</t>
  </si>
  <si>
    <t>PP-GC</t>
  </si>
  <si>
    <t>SP15</t>
  </si>
  <si>
    <t>Utah</t>
  </si>
  <si>
    <t>Utah North</t>
  </si>
  <si>
    <t>Utah South</t>
  </si>
  <si>
    <t>Path C North</t>
  </si>
  <si>
    <t>Load Contingency East Obligation</t>
  </si>
  <si>
    <t>Yakima</t>
  </si>
  <si>
    <t>Walla Walla</t>
  </si>
  <si>
    <t>Chehalis</t>
  </si>
  <si>
    <t>Load Contingency East Offset</t>
  </si>
  <si>
    <t>West Main</t>
  </si>
  <si>
    <t>Jim Bridger</t>
  </si>
  <si>
    <t>Amps-Colstrip</t>
  </si>
  <si>
    <t>Load Contingency West Obligation</t>
  </si>
  <si>
    <t>Wyoming</t>
  </si>
  <si>
    <t>Wyoming Northeast</t>
  </si>
  <si>
    <t>Wyoming Central</t>
  </si>
  <si>
    <t>Trona</t>
  </si>
  <si>
    <t>Load Contingency West Offset</t>
  </si>
  <si>
    <t>Electric Swaps Sales</t>
  </si>
  <si>
    <t>Electric Swaps - East Sell</t>
  </si>
  <si>
    <t>Electric Swaps - West Sell</t>
  </si>
  <si>
    <t>STF Trading Margin</t>
  </si>
  <si>
    <t>STF Arbitrage Margin</t>
  </si>
  <si>
    <t>STF Index Trades</t>
  </si>
  <si>
    <t>STF Index Trades - Sell - West</t>
  </si>
  <si>
    <t>STF Index Trades - Sell - East</t>
  </si>
  <si>
    <t>System Balancing Sales</t>
  </si>
  <si>
    <t>GRID Sales ($)</t>
  </si>
  <si>
    <t>Cal ISO West - COB Sale</t>
  </si>
  <si>
    <t>Station Service West</t>
  </si>
  <si>
    <t>DSW</t>
  </si>
  <si>
    <t>Cal ISO East - Four Corners Sale</t>
  </si>
  <si>
    <t>Station Service East</t>
  </si>
  <si>
    <t>Non-Owned East Wind - Obligation</t>
  </si>
  <si>
    <t>Non-Owned East Wind - Offset</t>
  </si>
  <si>
    <t>Cal ISO East - Mona Sale</t>
  </si>
  <si>
    <t>Lewis River Loss of Efficiency</t>
  </si>
  <si>
    <t>Lewis River Motoring Loss</t>
  </si>
  <si>
    <t>Non-Owned West Wind - Obligation</t>
  </si>
  <si>
    <t>Non-Owned East - Obligation</t>
  </si>
  <si>
    <t>Non-Owned West Wind - Offset</t>
  </si>
  <si>
    <t>Non-Owned East - Offset</t>
  </si>
  <si>
    <t>Trapped Energy</t>
  </si>
  <si>
    <t>Warning: fixed off sheet array</t>
  </si>
  <si>
    <t>Non-Owned West - Obligation</t>
  </si>
  <si>
    <t>Non-Owned West - Offset</t>
  </si>
  <si>
    <t>DSM Cool Keeper</t>
  </si>
  <si>
    <t>DSM Cool Keeper Shifted</t>
  </si>
  <si>
    <t>DSM Cool Keeper Reserve</t>
  </si>
  <si>
    <t>Bridger Losses In</t>
  </si>
  <si>
    <t>Bridger Losses Out</t>
  </si>
  <si>
    <t>Idaho Power RTSA return</t>
  </si>
  <si>
    <t>BPA Hermiston Losses</t>
  </si>
  <si>
    <t>BPA Hermiston Loss Settlement</t>
  </si>
  <si>
    <t>Ramp Loss East</t>
  </si>
  <si>
    <t>Kennecott Generation Adjustment</t>
  </si>
  <si>
    <t>Ramp Loss West</t>
  </si>
  <si>
    <t>Purchased Power &amp; Net Interchange</t>
  </si>
  <si>
    <t>Long Term Firm Purchases</t>
  </si>
  <si>
    <t>APS Supplemental p27875</t>
  </si>
  <si>
    <t>APS Supplemental Purchase coal</t>
  </si>
  <si>
    <t>APS Supplemental Purchase other</t>
  </si>
  <si>
    <t>Avoided Cost Resource</t>
  </si>
  <si>
    <t>Blanding Purchase p379174</t>
  </si>
  <si>
    <t>Blanding Purchase</t>
  </si>
  <si>
    <t>BPA Reserve Purchase</t>
  </si>
  <si>
    <t>Leaning Juniper 1</t>
  </si>
  <si>
    <t>Goodnoe Wind</t>
  </si>
  <si>
    <t>Chehalis Station Service</t>
  </si>
  <si>
    <t xml:space="preserve">Combine Hills Wind p160595 </t>
  </si>
  <si>
    <t>Combine Hills</t>
  </si>
  <si>
    <t>Deseret Purchase p194277</t>
  </si>
  <si>
    <t>Deseret Purchase</t>
  </si>
  <si>
    <t>Deseret G&amp;T Expansion</t>
  </si>
  <si>
    <t>Douglas PUD Settlement p38185</t>
  </si>
  <si>
    <t>Douglas PUD Settlement</t>
  </si>
  <si>
    <t>Gemstate p99489</t>
  </si>
  <si>
    <t>Gem State (City of Idaho Falls)</t>
  </si>
  <si>
    <t>Gem State Power Cost</t>
  </si>
  <si>
    <t>Georgia-Pacific Camas</t>
  </si>
  <si>
    <t>Fort James (CoGen)</t>
  </si>
  <si>
    <t>Grant County 10 aMW p66274</t>
  </si>
  <si>
    <t>Grant County</t>
  </si>
  <si>
    <t>Hermiston Purchase p99563</t>
  </si>
  <si>
    <t>Hermiston 1</t>
  </si>
  <si>
    <t>Hermiston 2</t>
  </si>
  <si>
    <t>Hermiston Purchase</t>
  </si>
  <si>
    <t>Hurricane Purchase p393045</t>
  </si>
  <si>
    <t>Hurricane Purchase</t>
  </si>
  <si>
    <t>Idaho Power p278538</t>
  </si>
  <si>
    <t>Idaho Power P278538</t>
  </si>
  <si>
    <t>Idaho Power RTSA Purchase</t>
  </si>
  <si>
    <t>Idaho Power P278538 HLH</t>
  </si>
  <si>
    <t>Idaho Power P278538 LLH</t>
  </si>
  <si>
    <t>IPP Purchase</t>
  </si>
  <si>
    <t>Kennecott Generation Incentive</t>
  </si>
  <si>
    <t>Kennecott Incentive</t>
  </si>
  <si>
    <t>Kennecott Incentive (Historical)</t>
  </si>
  <si>
    <t>Kennecott Coal Non-Owned</t>
  </si>
  <si>
    <t>LADWP p491303-4</t>
  </si>
  <si>
    <t>LADWP p491304</t>
  </si>
  <si>
    <t>LADWP s491304</t>
  </si>
  <si>
    <t>LADWP p491303</t>
  </si>
  <si>
    <t>LADWP s491303</t>
  </si>
  <si>
    <t>MagCorp p229846</t>
  </si>
  <si>
    <t>MagCorp Buythrough</t>
  </si>
  <si>
    <t>MagCorp Buythrough Winter</t>
  </si>
  <si>
    <t>MagCorp Curtailment (Historical)</t>
  </si>
  <si>
    <t>MagCorp Curtailment Winter (Historical)</t>
  </si>
  <si>
    <t>MagCorp Reserves p510378</t>
  </si>
  <si>
    <t>US Magnesium Reserve</t>
  </si>
  <si>
    <t>Morgan Stanley p189046</t>
  </si>
  <si>
    <t>Morgan Stanley p272153-6</t>
  </si>
  <si>
    <t>Morgan Stanley p272153</t>
  </si>
  <si>
    <t>Morgan Stanley p272156</t>
  </si>
  <si>
    <t>Morgan Stanley p272154-7</t>
  </si>
  <si>
    <t>Morgan Stanley p272154</t>
  </si>
  <si>
    <t>Morgan Stanley p272157</t>
  </si>
  <si>
    <t>Nucor p346856</t>
  </si>
  <si>
    <t>Nucor</t>
  </si>
  <si>
    <t>Nucor (De-rate)</t>
  </si>
  <si>
    <t>P4 Production p137215/p145258</t>
  </si>
  <si>
    <t>P4 Production</t>
  </si>
  <si>
    <t>Monsanto Buythrough</t>
  </si>
  <si>
    <t>Monsanto Excess Demand</t>
  </si>
  <si>
    <t>Monsanto Buythrough (Historical)</t>
  </si>
  <si>
    <t>P4 Production (De-rate)</t>
  </si>
  <si>
    <t>PGE Cove p83984</t>
  </si>
  <si>
    <t>PGE Cove</t>
  </si>
  <si>
    <t>PGE Cove Power Cost</t>
  </si>
  <si>
    <t>Rock River Wind p100371</t>
  </si>
  <si>
    <t>Rock River I</t>
  </si>
  <si>
    <t>Rock River C&amp;R Discount</t>
  </si>
  <si>
    <t>Roseburg Forest Products p312292</t>
  </si>
  <si>
    <t>Roseburg Forest Products</t>
  </si>
  <si>
    <t>Roseburg Forest Products Option</t>
  </si>
  <si>
    <t>Small Purchases east</t>
  </si>
  <si>
    <t>Small Purchases west</t>
  </si>
  <si>
    <t>Three Buttes Wind p460457</t>
  </si>
  <si>
    <t>Three Buttes Wind</t>
  </si>
  <si>
    <t>Campbell Hills Wind</t>
  </si>
  <si>
    <t>Duke Energy</t>
  </si>
  <si>
    <t>Top of the World Wind p522807</t>
  </si>
  <si>
    <t>Top of the World Wind p575862</t>
  </si>
  <si>
    <t>Tri-State Purchase p27057</t>
  </si>
  <si>
    <t>Tri-State Purchase</t>
  </si>
  <si>
    <t>West Valley Toll</t>
  </si>
  <si>
    <t>Warning: Includes West Valley Toll Variable Cost</t>
  </si>
  <si>
    <t>Wolverine Creek Wind p244520</t>
  </si>
  <si>
    <t>Wolverine Creek</t>
  </si>
  <si>
    <t>Seasonal Purchased Power</t>
  </si>
  <si>
    <t>Constellation 2013-2016</t>
  </si>
  <si>
    <t>Constellation Seasonal 2013-2016</t>
  </si>
  <si>
    <t>Qualifying Facilities</t>
  </si>
  <si>
    <t>QF California</t>
  </si>
  <si>
    <t>California QF</t>
  </si>
  <si>
    <t>California Pre-MSP QF</t>
  </si>
  <si>
    <t>California Pre-Merger QF</t>
  </si>
  <si>
    <t>California Post-Merger Pre-MSP QF</t>
  </si>
  <si>
    <t>California Post-MSP QF</t>
  </si>
  <si>
    <t>QF Idaho</t>
  </si>
  <si>
    <t>Idaho QF</t>
  </si>
  <si>
    <t>Idaho Pre-MSP QF</t>
  </si>
  <si>
    <t>Idaho Pre-Merger QF</t>
  </si>
  <si>
    <t>Idaho Post-Merger Pre-MSP QF</t>
  </si>
  <si>
    <t>Idaho Post-MSP QF</t>
  </si>
  <si>
    <t>QF Oregon</t>
  </si>
  <si>
    <t>Oregon QF</t>
  </si>
  <si>
    <t>Oregon Pre-MSP QF</t>
  </si>
  <si>
    <t>Oregon Pre-Merger QF</t>
  </si>
  <si>
    <t>Oregon Post-Merger Pre-MSP QF</t>
  </si>
  <si>
    <t>Oregon Post-MSP QF</t>
  </si>
  <si>
    <t>QF Utah</t>
  </si>
  <si>
    <t>Utah Post-MSP Solar QF</t>
  </si>
  <si>
    <t>Utah Pre-MSP QF</t>
  </si>
  <si>
    <t>Utah Pre-Merger QF</t>
  </si>
  <si>
    <t>Utah Post-Merger Pre-MSP QF</t>
  </si>
  <si>
    <t>Utah Post-MSP QF</t>
  </si>
  <si>
    <t>QF Washington</t>
  </si>
  <si>
    <t>Washington QF</t>
  </si>
  <si>
    <t>Washington Pre-MSP QF</t>
  </si>
  <si>
    <t>Washington Pre-Merger QF</t>
  </si>
  <si>
    <t>Washington Post-Merger Pre-MSP QF</t>
  </si>
  <si>
    <t>Washington Post-MSP QF</t>
  </si>
  <si>
    <t>QF Wyoming</t>
  </si>
  <si>
    <t>Wyoming QF</t>
  </si>
  <si>
    <t>Wyoming Pre-MSP QF</t>
  </si>
  <si>
    <t>Wyoming Pre-Merger QF</t>
  </si>
  <si>
    <t>Wyoming Post-Merger Pre-MSP QF</t>
  </si>
  <si>
    <t>Wyoming Post-MSP QF</t>
  </si>
  <si>
    <t>Biomass One QF</t>
  </si>
  <si>
    <t>Biomass (QF)</t>
  </si>
  <si>
    <t>Biomass Non-Generation</t>
  </si>
  <si>
    <t>Butter Creek Wind QF</t>
  </si>
  <si>
    <t>Pine City Wind QF</t>
  </si>
  <si>
    <t>High Plateau Wind QF</t>
  </si>
  <si>
    <t>Lower Ridge Wind QF</t>
  </si>
  <si>
    <t>Mule Hollow Wind QF</t>
  </si>
  <si>
    <t>Champlin Blue Mtn Wind QF</t>
  </si>
  <si>
    <t>Chevron Wind p499335 QF</t>
  </si>
  <si>
    <t>Chevron Wind QF</t>
  </si>
  <si>
    <t>Co-Gen II</t>
  </si>
  <si>
    <t>Co-Gen II QF</t>
  </si>
  <si>
    <t>DCFP p316701 QF</t>
  </si>
  <si>
    <t>Douglas County Forest Products QF</t>
  </si>
  <si>
    <t>Co-Gen II p349170 QF</t>
  </si>
  <si>
    <t>D.R. Johnson (QF)</t>
  </si>
  <si>
    <t>Evergreen BioPower p351030 QF</t>
  </si>
  <si>
    <t>Evergreen Biopower QF</t>
  </si>
  <si>
    <t>ExxonMobil p255042 QF</t>
  </si>
  <si>
    <t>ExxonMobil QF</t>
  </si>
  <si>
    <t>Five Pine Wind QF</t>
  </si>
  <si>
    <t>Kennecott Refinery QF</t>
  </si>
  <si>
    <t>Kennecott Smelter QF</t>
  </si>
  <si>
    <t>Kennecott QF</t>
  </si>
  <si>
    <t>Latigo Wind Park QF</t>
  </si>
  <si>
    <t>Long Ridge Wind I QF</t>
  </si>
  <si>
    <t>Long Ridge Wind II QF</t>
  </si>
  <si>
    <t>Mariah Wind QF</t>
  </si>
  <si>
    <t>Orem Family Wind QF</t>
  </si>
  <si>
    <t>North Point Wind QF</t>
  </si>
  <si>
    <t>OM Power I Geothermal QF</t>
  </si>
  <si>
    <t>Oregon Wind Farm QF</t>
  </si>
  <si>
    <t>Pioneer Wind Park I QF</t>
  </si>
  <si>
    <t>Pioneer Wind Park II QF</t>
  </si>
  <si>
    <t>Power County North Wind QF p575612</t>
  </si>
  <si>
    <t>Power County South Wind QF p575614</t>
  </si>
  <si>
    <t>Roseburg Dillard QF</t>
  </si>
  <si>
    <t>SF Phosphates</t>
  </si>
  <si>
    <t>Simplot Phosphates</t>
  </si>
  <si>
    <t>Spanish Fork Wind 2 p311681 QF</t>
  </si>
  <si>
    <t>Spanish Fork Wind 2 QF</t>
  </si>
  <si>
    <t>Sunnyside p83997/p59965 QF</t>
  </si>
  <si>
    <t>Sunnyside (QF) base</t>
  </si>
  <si>
    <t>Sunnyside (QF) additional</t>
  </si>
  <si>
    <t>Tesoro QF</t>
  </si>
  <si>
    <t>Threemile Canyon Wind QF p500139</t>
  </si>
  <si>
    <t>US Magnesium QF</t>
  </si>
  <si>
    <t>Mid-Columbia Contracts</t>
  </si>
  <si>
    <t>Canadian Entitlement p60828</t>
  </si>
  <si>
    <t>Canadian Entitlement CEAEA</t>
  </si>
  <si>
    <t>Chelan - Rocky Reach p60827</t>
  </si>
  <si>
    <t>Chelan - Rocky Reach</t>
  </si>
  <si>
    <t>Douglas - Wells p60828</t>
  </si>
  <si>
    <t>Douglas - Wells</t>
  </si>
  <si>
    <t>Douglas PUD - Lands Energy Share</t>
  </si>
  <si>
    <t>Grant Displacement p270294</t>
  </si>
  <si>
    <t>Grant Displacement</t>
  </si>
  <si>
    <t>Grant Reasonable</t>
  </si>
  <si>
    <t>Grant Meaningful Priority p390668</t>
  </si>
  <si>
    <t>Grant Meaningful Priority</t>
  </si>
  <si>
    <t>Grant Surplus p258951</t>
  </si>
  <si>
    <t>Grant - Priest Rapids</t>
  </si>
  <si>
    <t>Grant - Wanapum</t>
  </si>
  <si>
    <t>Grant Power Auction</t>
  </si>
  <si>
    <t>Total Long Term Firm Purchases</t>
  </si>
  <si>
    <t>Storage &amp; Exchange</t>
  </si>
  <si>
    <t>APGI/Colockum s191690</t>
  </si>
  <si>
    <t>APGI 7X24 return</t>
  </si>
  <si>
    <t>APGI LLH return</t>
  </si>
  <si>
    <t>APS Exchange p58118/s58119</t>
  </si>
  <si>
    <t>APS Exchange</t>
  </si>
  <si>
    <t>APS Exchange deliver</t>
  </si>
  <si>
    <t>Black Hills CTs p64676</t>
  </si>
  <si>
    <t>Black Hills Reserve (CTs)</t>
  </si>
  <si>
    <t>Black Hills Reserve</t>
  </si>
  <si>
    <t>BPA Exchange p64706/p64888</t>
  </si>
  <si>
    <t>BPA Spring Energy</t>
  </si>
  <si>
    <t>BPA Spring Energy deliver</t>
  </si>
  <si>
    <t>BPA Summer Storage</t>
  </si>
  <si>
    <t>BPA Summer Storage return</t>
  </si>
  <si>
    <t xml:space="preserve">BPA FC II Wind p63507 </t>
  </si>
  <si>
    <t>BPA FC II Generation</t>
  </si>
  <si>
    <t>BPA FC II delivery</t>
  </si>
  <si>
    <t xml:space="preserve">BPA FC IV Wind p79207 </t>
  </si>
  <si>
    <t>BPA FC IV Generation</t>
  </si>
  <si>
    <t>BPA FC IV delivery</t>
  </si>
  <si>
    <t>BPA FC IV delivery On</t>
  </si>
  <si>
    <t>BPA FC IV delivery Off</t>
  </si>
  <si>
    <t>BPA Peaking p59820</t>
  </si>
  <si>
    <t>BPA Peaking</t>
  </si>
  <si>
    <t>BPA PEAKING REPLACEMENT</t>
  </si>
  <si>
    <t>BPA So. Idaho p64885/p83975/p64705</t>
  </si>
  <si>
    <t>BPA SO. IDAHO EXCHANGE IN</t>
  </si>
  <si>
    <t>BPA SO. IDAHO EXCHANGE OUT</t>
  </si>
  <si>
    <t>BPA PALISADES STORAGE</t>
  </si>
  <si>
    <t>BPA PALISADES RETURN</t>
  </si>
  <si>
    <t>Cargill p483225/s6 p485390/s89</t>
  </si>
  <si>
    <t>Cargill p483225</t>
  </si>
  <si>
    <t>Cargill s483226</t>
  </si>
  <si>
    <t>Cargill p485290</t>
  </si>
  <si>
    <t>Cargill s485289</t>
  </si>
  <si>
    <t>Cowlitz Swift p65787</t>
  </si>
  <si>
    <t>Cowlitz Swift deliver</t>
  </si>
  <si>
    <t>EWEB FC I p63508/p63510</t>
  </si>
  <si>
    <t>EWEB FC I Generation</t>
  </si>
  <si>
    <t>EWEB FC I delivery</t>
  </si>
  <si>
    <t>EWEB/BPA Wind Sale</t>
  </si>
  <si>
    <t>PSCo Exchange p340325</t>
  </si>
  <si>
    <t>PSCo Exchange</t>
  </si>
  <si>
    <t>PSCo Exchange deliver</t>
  </si>
  <si>
    <t>PSCO FC III p63362/s63361</t>
  </si>
  <si>
    <t>PSCo FC III Generation</t>
  </si>
  <si>
    <t>PSCo FC III delivery</t>
  </si>
  <si>
    <t>Redding Exchange p66276</t>
  </si>
  <si>
    <t>REDDING EXCHANGE IN</t>
  </si>
  <si>
    <t>REDDING EXCHANGE OUT</t>
  </si>
  <si>
    <t>SCL State Line p105228</t>
  </si>
  <si>
    <t>SCL State Line generation</t>
  </si>
  <si>
    <t>SCL State Line delivery</t>
  </si>
  <si>
    <t>SCL State Line reserves</t>
  </si>
  <si>
    <t>SCL State Line Delivery LLH</t>
  </si>
  <si>
    <t>Shell p489963/s489962</t>
  </si>
  <si>
    <t>Shell p489963</t>
  </si>
  <si>
    <t>Shell s489962</t>
  </si>
  <si>
    <t>TransAlta p371343/s371344</t>
  </si>
  <si>
    <t>TransAlta p371343</t>
  </si>
  <si>
    <t>TransAlta s371344</t>
  </si>
  <si>
    <t>Tri-State Exchange</t>
  </si>
  <si>
    <t>Tri-State Exchange return</t>
  </si>
  <si>
    <t>Short Term Firm Purchases</t>
  </si>
  <si>
    <t>GRID ST Firm Purchases ($)</t>
  </si>
  <si>
    <t>STF Electric Swaps</t>
  </si>
  <si>
    <t>Electric Swaps - East</t>
  </si>
  <si>
    <t>Electric Swaps - West</t>
  </si>
  <si>
    <t>Electric Swaps - East Buy</t>
  </si>
  <si>
    <t>Electric Swaps - West Buy</t>
  </si>
  <si>
    <t>STF Index Trades - Buy - West</t>
  </si>
  <si>
    <t>STF Index Trades - Buy - East</t>
  </si>
  <si>
    <t>System Balancing Purchases</t>
  </si>
  <si>
    <t>GRID Purchases ($)</t>
  </si>
  <si>
    <t>Cal ISO West - COB Purchase</t>
  </si>
  <si>
    <t>Cal ISO East - Four Corners Purchase</t>
  </si>
  <si>
    <t>Cal ISO East - Mona Purchase</t>
  </si>
  <si>
    <t>Emergency Purchases</t>
  </si>
  <si>
    <t>Wheeling &amp; U. of F. Expense</t>
  </si>
  <si>
    <t>Firm Wheeling</t>
  </si>
  <si>
    <t>Transmission East</t>
  </si>
  <si>
    <t>Transmission West</t>
  </si>
  <si>
    <t>ST Firm &amp; Non-Firm</t>
  </si>
  <si>
    <t>Coal Fuel Burn Expense</t>
  </si>
  <si>
    <t>GRID Thermal Fuel Burn ($)</t>
  </si>
  <si>
    <t>Generation Adj $</t>
  </si>
  <si>
    <t>Other Costs</t>
  </si>
  <si>
    <t>Carbon</t>
  </si>
  <si>
    <t>Colstrip</t>
  </si>
  <si>
    <t>Craig</t>
  </si>
  <si>
    <t>Dave Johnston</t>
  </si>
  <si>
    <t>Hayden</t>
  </si>
  <si>
    <t>Hunter</t>
  </si>
  <si>
    <t>Huntington</t>
  </si>
  <si>
    <t>Naughton</t>
  </si>
  <si>
    <t>Pipeline Naughton</t>
  </si>
  <si>
    <t>Wyodak</t>
  </si>
  <si>
    <t>Gas Fuel Burn Expense</t>
  </si>
  <si>
    <t>Startup 1</t>
  </si>
  <si>
    <t>Startup 2</t>
  </si>
  <si>
    <t>Currant Creek</t>
  </si>
  <si>
    <t>Gadsby</t>
  </si>
  <si>
    <t xml:space="preserve">Gadsby </t>
  </si>
  <si>
    <t>Gadsby CT</t>
  </si>
  <si>
    <t>Hermiston</t>
  </si>
  <si>
    <t>Hermiston Owned</t>
  </si>
  <si>
    <t>Lake Side 1</t>
  </si>
  <si>
    <t>Little Mountain</t>
  </si>
  <si>
    <t>Naughton - Gas</t>
  </si>
  <si>
    <t>Not Used</t>
  </si>
  <si>
    <t>Total Gas Fuel Burn</t>
  </si>
  <si>
    <t>Gas Physical</t>
  </si>
  <si>
    <t>Gas Physical - Hermiston</t>
  </si>
  <si>
    <t>Gas Physical - New East</t>
  </si>
  <si>
    <t>Gas Swaps</t>
  </si>
  <si>
    <t>Gas Swaps - Hermiston</t>
  </si>
  <si>
    <t>Gas Swaps - New East</t>
  </si>
  <si>
    <t>Clay Basin Gas Storage</t>
  </si>
  <si>
    <t>Pipeline Reservation Fees</t>
  </si>
  <si>
    <t>Pipeline Currant Creek Lateral</t>
  </si>
  <si>
    <t>Pipeline Lake Side Lateral</t>
  </si>
  <si>
    <t>Pipeline Southern System Expansion</t>
  </si>
  <si>
    <t>Pipeline Kern River Gas</t>
  </si>
  <si>
    <t>Pipeline Chehalis - Lateral</t>
  </si>
  <si>
    <t>Pipeline Chehalis - Main</t>
  </si>
  <si>
    <t>Pipeline Hermiston Owned</t>
  </si>
  <si>
    <t>Pipeline Lake Side 2</t>
  </si>
  <si>
    <t>Other Generation</t>
  </si>
  <si>
    <t>Blundell</t>
  </si>
  <si>
    <t>Dunlap I Wind p524168</t>
  </si>
  <si>
    <t>Dunlap I Wind</t>
  </si>
  <si>
    <t>Hide Row</t>
  </si>
  <si>
    <t>Foote Creek I Wind</t>
  </si>
  <si>
    <t>Foote Creek I Generation</t>
  </si>
  <si>
    <t>Glenrock Wind p423461</t>
  </si>
  <si>
    <t>Glenrock Wind</t>
  </si>
  <si>
    <t>Glenrock III Wind p454125</t>
  </si>
  <si>
    <t>Glenrock III Wind</t>
  </si>
  <si>
    <t>Goodnoe Wind p332427</t>
  </si>
  <si>
    <t>High Plains Wind p492251</t>
  </si>
  <si>
    <t>High Plains Wind</t>
  </si>
  <si>
    <t>Leaning Juniper 1 p317714</t>
  </si>
  <si>
    <t>Marengo I Wind p332428</t>
  </si>
  <si>
    <t>Marengo I</t>
  </si>
  <si>
    <t>Marengo</t>
  </si>
  <si>
    <t>Marengo II Wind p423463</t>
  </si>
  <si>
    <t>Marengo II</t>
  </si>
  <si>
    <t>McFadden Ridge Wind p492250</t>
  </si>
  <si>
    <t>McFadden Ridge Wind</t>
  </si>
  <si>
    <t>Rolling Hills Wind p423462</t>
  </si>
  <si>
    <t>Rolling Hills Wind</t>
  </si>
  <si>
    <t>Seven Mile Wind p454126</t>
  </si>
  <si>
    <t>Seven Mile Wind</t>
  </si>
  <si>
    <t>Seven Mile II Wind p357819</t>
  </si>
  <si>
    <t>Seven Mile II Wind</t>
  </si>
  <si>
    <t>Integration Charge</t>
  </si>
  <si>
    <t>=</t>
  </si>
  <si>
    <t>Net Power Cost</t>
  </si>
  <si>
    <t>Net Power Cost/Net System Load</t>
  </si>
  <si>
    <t>MWh</t>
  </si>
  <si>
    <t>Adjustments to Load</t>
  </si>
  <si>
    <t>DSM (Irrigation)</t>
  </si>
  <si>
    <t>Monsanto Curtailment</t>
  </si>
  <si>
    <t>System Load</t>
  </si>
  <si>
    <t>Net System Load</t>
  </si>
  <si>
    <t>GRID LTC (MWh)</t>
  </si>
  <si>
    <t>GRID ST Firm Sales (MWh)</t>
  </si>
  <si>
    <t>GRID Sales (MWh)</t>
  </si>
  <si>
    <t>Excess Gas Sales</t>
  </si>
  <si>
    <t>Total Requirements</t>
  </si>
  <si>
    <t>BPA Conservation Rate Credit</t>
  </si>
  <si>
    <t>-</t>
  </si>
  <si>
    <t>Monsanto Curtailment (Historical)</t>
  </si>
  <si>
    <t>Grant Meaningful Priority - Priest Rapids</t>
  </si>
  <si>
    <t>Grant Meaningful Priority - Wanapum</t>
  </si>
  <si>
    <t>Grant Priest Rapids Development</t>
  </si>
  <si>
    <t>Grant Wanapum Development</t>
  </si>
  <si>
    <t>Swift 2</t>
  </si>
  <si>
    <t>GRID ST Firm Purchases (MWh)</t>
  </si>
  <si>
    <t>GRID Purchases (MWh)</t>
  </si>
  <si>
    <t>Coal Generation</t>
  </si>
  <si>
    <t>GRID Thermal Generation (MWh)</t>
  </si>
  <si>
    <t>Generation Adj MWh</t>
  </si>
  <si>
    <t>Gas Generation</t>
  </si>
  <si>
    <t>Hydro Generation</t>
  </si>
  <si>
    <t>GRID Hydro Generation (MWh)</t>
  </si>
  <si>
    <t>West Hydro</t>
  </si>
  <si>
    <t>East Hydro</t>
  </si>
  <si>
    <t>Bear</t>
  </si>
  <si>
    <t>East</t>
  </si>
  <si>
    <t>Big Fork</t>
  </si>
  <si>
    <t>Bear Run of River</t>
  </si>
  <si>
    <t>Cutler</t>
  </si>
  <si>
    <t>Oneida</t>
  </si>
  <si>
    <t>Formula different from others</t>
  </si>
  <si>
    <t>Blundell Bottoming Cycle</t>
  </si>
  <si>
    <t>Total Blundell</t>
  </si>
  <si>
    <t>Total Wind Generation</t>
  </si>
  <si>
    <t>Total Resources</t>
  </si>
  <si>
    <t>"The Rack"</t>
  </si>
  <si>
    <t>Fuel Burned  (MMBtu)</t>
  </si>
  <si>
    <t>GRID Fuel Used (MMBtu)</t>
  </si>
  <si>
    <t>Fuel Used Adjusted for Ramp Loss</t>
  </si>
  <si>
    <t>Burn Rate (MMBtu/MWh)</t>
  </si>
  <si>
    <t>Average Fuel Cost ($/MMBtu)</t>
  </si>
  <si>
    <t>GRID Fuel Price ($MMBtu)</t>
  </si>
  <si>
    <t>Peak Capacity (Nameplate)</t>
  </si>
  <si>
    <t>Capacity Factor</t>
  </si>
  <si>
    <t>Name Plate Capacity</t>
  </si>
  <si>
    <t>Wind Integration Charge</t>
  </si>
  <si>
    <t>SCL State Line</t>
  </si>
  <si>
    <t xml:space="preserve">   Subtotal Wind Generation</t>
  </si>
  <si>
    <t>Generation in BPA Balancing Area</t>
  </si>
  <si>
    <t>Total Generation (MWh)</t>
  </si>
  <si>
    <t>Company Integrated Wind Integration Charge $/MWh</t>
  </si>
  <si>
    <t>Inter-hour for Leaning Juniper and Goodnoe $/MWh</t>
  </si>
  <si>
    <t>Company Wind Integration ($)</t>
  </si>
  <si>
    <t>Goodnoe Wind Integration ($)</t>
  </si>
  <si>
    <t>Leaning Juniper 1 Wind Integration ($)</t>
  </si>
  <si>
    <t>Total Wind Integration Charge ($)</t>
  </si>
  <si>
    <t>Load Integration Charge ($)</t>
  </si>
  <si>
    <t>Start-up gas cost</t>
  </si>
  <si>
    <t>Unit</t>
  </si>
  <si>
    <t>Gadsby 1</t>
  </si>
  <si>
    <t>Gadsby 2</t>
  </si>
  <si>
    <t>Gadsby 3</t>
  </si>
  <si>
    <t>Gadsby 4</t>
  </si>
  <si>
    <t>Gadsby 5</t>
  </si>
  <si>
    <t>Gadsby 6</t>
  </si>
  <si>
    <t>Lake Side 2</t>
  </si>
  <si>
    <t>Naughton 3 - Gas</t>
  </si>
  <si>
    <t>West Valley Toll 1</t>
  </si>
  <si>
    <t>West Valley Toll 2</t>
  </si>
  <si>
    <t>West Valley Toll 3</t>
  </si>
  <si>
    <t>West Valley Toll 4</t>
  </si>
  <si>
    <t>West Valley Toll 5</t>
  </si>
  <si>
    <t>Total start-up gas cost</t>
  </si>
  <si>
    <t>Toggle East / West Off (1=on, 0=off)</t>
  </si>
  <si>
    <t>Mills / kWh</t>
  </si>
  <si>
    <t>West Start-up Costs</t>
  </si>
  <si>
    <t>East Start-up Costs</t>
  </si>
  <si>
    <t>Thermal Resources</t>
  </si>
  <si>
    <t>Total Coal Expenses</t>
  </si>
  <si>
    <t>Total Thermal Resources</t>
  </si>
  <si>
    <t>Offset Column Reference - STF</t>
  </si>
  <si>
    <t>Offset Column Reference</t>
  </si>
  <si>
    <t>HOURS IN PERIOD</t>
  </si>
  <si>
    <t>Pre-Merger Qualifying Facilities ($)</t>
  </si>
  <si>
    <t>California Pre-merger QF</t>
  </si>
  <si>
    <t>Idaho Pre-merger QF</t>
  </si>
  <si>
    <t>Oregon Pre-merger QF</t>
  </si>
  <si>
    <t>Utah Pre-merger QF</t>
  </si>
  <si>
    <t>Washington Pre-merger QF</t>
  </si>
  <si>
    <t>Wyoming Pre-merger QF</t>
  </si>
  <si>
    <t>Post-Merger Pre-MSP Qualifying Facilities ($)</t>
  </si>
  <si>
    <t>California Post-merger Pre-MSP QF</t>
  </si>
  <si>
    <t>Idaho Post-merger Pre-MSP QF</t>
  </si>
  <si>
    <t>Oregon Post-merger Pre-MSP QF</t>
  </si>
  <si>
    <t>Utah Post-merger Pre-MSP QF</t>
  </si>
  <si>
    <t>Washington Post-merger Pre-MSP QF</t>
  </si>
  <si>
    <t>Wyoming Post-merger Pre-MSP QF</t>
  </si>
  <si>
    <t>Post-MSP Qualifying Facilities ($)</t>
  </si>
  <si>
    <t>California post-MSP QF</t>
  </si>
  <si>
    <t>Idaho post-MSP QF</t>
  </si>
  <si>
    <t>Oregon post-MSP QF</t>
  </si>
  <si>
    <t>Utah post-MSP QF</t>
  </si>
  <si>
    <t>Washington post-MSP QF</t>
  </si>
  <si>
    <t>Wyoming post-MSP QF</t>
  </si>
  <si>
    <t>Pre-Merger Qualifying Facilities (MWh)</t>
  </si>
  <si>
    <t>Post-Merger Pre-MSP Qualifying Facilities (MWh)</t>
  </si>
  <si>
    <t>Post-MSP Qualifying Facilities (MWh)</t>
  </si>
  <si>
    <t>Exchanges $$</t>
  </si>
  <si>
    <t>Exchanges MWh</t>
  </si>
  <si>
    <t>WAGRC March16 NPC Rebuttal Study xORCA QFs</t>
  </si>
  <si>
    <t>Gas Physical - Chehalis</t>
  </si>
  <si>
    <t>Gas Physical - Existing East</t>
  </si>
  <si>
    <t>Gas Swaps - Chehalis</t>
  </si>
  <si>
    <t>Gas Swaps - Existing East</t>
  </si>
  <si>
    <t>Lake Side II</t>
  </si>
  <si>
    <t xml:space="preserve"> </t>
  </si>
  <si>
    <t>check</t>
  </si>
  <si>
    <t>NET POWER COST</t>
  </si>
  <si>
    <t>TOTAL OTHER GEN. EXPENSE</t>
  </si>
  <si>
    <t>--------------------</t>
  </si>
  <si>
    <t>OTHER GENERATION EXPENSE</t>
  </si>
  <si>
    <t>TOTAL FUEL BURN EXPENSE</t>
  </si>
  <si>
    <t>THERMAL FUEL BURN EXPENSE</t>
  </si>
  <si>
    <t>TOTAL WHEELING &amp; U. OF F. EXPENSE</t>
  </si>
  <si>
    <t>Nonfirm Wheeling</t>
  </si>
  <si>
    <t>Post Merger</t>
  </si>
  <si>
    <t>STF</t>
  </si>
  <si>
    <t>Utah Firm Wheeling and Use of Facilities</t>
  </si>
  <si>
    <t>NF Whl</t>
  </si>
  <si>
    <t>Post Mgr Whl</t>
  </si>
  <si>
    <t>Pacific Firm Wheeling and Use of Facilities</t>
  </si>
  <si>
    <t>Pre Mgr UPL</t>
  </si>
  <si>
    <t>Pre Mgr PPL</t>
  </si>
  <si>
    <t>WHEELING &amp; U. OF F. EXPENSE</t>
  </si>
  <si>
    <t>TOTAL PURCHASED PW &amp; NET INT.</t>
  </si>
  <si>
    <t>Non Firm Sub Total</t>
  </si>
  <si>
    <t>New Firm Sub Total</t>
  </si>
  <si>
    <t>---------------------------------------------------------</t>
  </si>
  <si>
    <t>Utah Sub Total</t>
  </si>
  <si>
    <t>UP&amp;L to PP&amp;L</t>
  </si>
  <si>
    <t>IPP Layoff</t>
  </si>
  <si>
    <t>QF UPL Post Merger</t>
  </si>
  <si>
    <t>QF Contracts/UPL</t>
  </si>
  <si>
    <t>QF UPL Pre Merger</t>
  </si>
  <si>
    <t>GSLM</t>
  </si>
  <si>
    <t>QF by State UPL</t>
  </si>
  <si>
    <t>Gemstate</t>
  </si>
  <si>
    <t>Pacific Sub Total</t>
  </si>
  <si>
    <t>QF PPL Post Merger</t>
  </si>
  <si>
    <t>QF PPL Pre Merger</t>
  </si>
  <si>
    <t>QF by State PPL</t>
  </si>
  <si>
    <t>Q.F. Contracts/PPL</t>
  </si>
  <si>
    <t>Misc/Pacific</t>
  </si>
  <si>
    <t>Post-Merger UPL</t>
  </si>
  <si>
    <t>Pre-Merger UPL</t>
  </si>
  <si>
    <t>Pacific Capacity</t>
  </si>
  <si>
    <t>Post-Merger PPL</t>
  </si>
  <si>
    <t>BPA Peak Purchase</t>
  </si>
  <si>
    <t>Pre-Merger PPL</t>
  </si>
  <si>
    <t>PURCHASED POWER &amp; NET INTERCHANGE</t>
  </si>
  <si>
    <t>Test Year</t>
  </si>
  <si>
    <t>TOTAL SPECIAL SALES</t>
  </si>
  <si>
    <t>NonFirm Sub Total</t>
  </si>
  <si>
    <t>Utah Pre Merger</t>
  </si>
  <si>
    <t>Pacific Pre Merger</t>
  </si>
  <si>
    <t>SPECIAL SALES FOR RESALE</t>
  </si>
  <si>
    <t>Post-Merger</t>
  </si>
  <si>
    <t>Non-Firm</t>
  </si>
  <si>
    <t>Energy</t>
  </si>
  <si>
    <t>Demand</t>
  </si>
  <si>
    <t xml:space="preserve">Pre-Merger </t>
  </si>
  <si>
    <t>Merged</t>
  </si>
  <si>
    <t>($)</t>
  </si>
  <si>
    <t>Period Ending</t>
  </si>
  <si>
    <t>MERGED PEAK/ENERGY SPLIT</t>
  </si>
  <si>
    <t>Study Results</t>
  </si>
  <si>
    <t>04/15-03/16</t>
  </si>
  <si>
    <t>Check to GRID</t>
  </si>
  <si>
    <t>Summary of Net Power Costs - West Control Area</t>
  </si>
  <si>
    <t>Final Order</t>
  </si>
  <si>
    <t>Net Power Costs</t>
  </si>
  <si>
    <t>Net Power Costs per WA JAM December 2013 GRC - Final Order</t>
  </si>
  <si>
    <t>(Page 2.2 Line 66)</t>
  </si>
  <si>
    <t>Order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</si>
</sst>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_);[Red]_(* \(#,##0\);_(* &quot;-&quot;_);_(@_)"/>
    <numFmt numFmtId="169" formatCode="_(* #,##0.00_);[Red]_(* \(#,##0.00\);_(* &quot;-&quot;??_);_(@_)"/>
    <numFmt numFmtId="170" formatCode="#,##0_);[Red]\(#,##0\);&quot;-     &quot;"/>
    <numFmt numFmtId="171" formatCode="#,##0_);\(#,##0\);&quot;-     &quot;"/>
    <numFmt numFmtId="172" formatCode="#,##0_);[Red]\(#,##0\);&quot;-&quot;"/>
    <numFmt numFmtId="173" formatCode="&quot;$&quot;#,##0.00"/>
    <numFmt numFmtId="174" formatCode="#,##0.00_);[Red]\(#,##0.00\);&quot;-     &quot;"/>
    <numFmt numFmtId="175" formatCode="#,##0.0_);[Red]\(#,##0.0\);&quot;-     &quot;"/>
    <numFmt numFmtId="176" formatCode="_(* #,##0.0000_);[Red]_(* \(#,##0.0000\);_(* &quot;-&quot;??_);_(@_)"/>
    <numFmt numFmtId="177" formatCode="#,##0.000_);[Red]\(#,##0.000\)"/>
    <numFmt numFmtId="178" formatCode="#,##0.000_);[Red]\(#,##0.000\);&quot;-&quot;"/>
    <numFmt numFmtId="179" formatCode="#,##0.0\);[Red]\(#,##0.0\);&quot;-&quot;"/>
    <numFmt numFmtId="180" formatCode="0.0%;[Red]\(0.0%\);&quot;- &quot;"/>
    <numFmt numFmtId="181" formatCode="_(* #,##0.0_);_(* \(#,##0.0\);_(* &quot;-&quot;_);_(@_)"/>
    <numFmt numFmtId="182" formatCode="_(* #,##0_);[Red]_(* \(#,##0\);_(* &quot;-&quot;??_);_(@_)"/>
    <numFmt numFmtId="183" formatCode="#,##0.00_);\(#,##0.00\);&quot;-     &quot;"/>
    <numFmt numFmtId="184" formatCode="0.0%;[Red]\(0.0%\)"/>
    <numFmt numFmtId="185" formatCode="&quot;$&quot;###0;[Red]\(&quot;$&quot;###0\)"/>
    <numFmt numFmtId="186" formatCode="0.0"/>
    <numFmt numFmtId="187" formatCode="General_)"/>
    <numFmt numFmtId="188" formatCode="#,##0\ ;[Red]\(#,##0\)"/>
    <numFmt numFmtId="189" formatCode="#,##0\ ;[Red]\(#,##0\);0\ "/>
    <numFmt numFmtId="190" formatCode="0.0%"/>
    <numFmt numFmtId="191" formatCode="#,##0.00\ ;[Red]\(#,##0.00\)"/>
    <numFmt numFmtId="192" formatCode="#,##0.000000\ ;[Red]\(#,##0.000000\);0.000000\ "/>
    <numFmt numFmtId="193" formatCode="0\ \ ;@\ \ "/>
    <numFmt numFmtId="194" formatCode="[$-409]mmm\-yy;@"/>
  </numFmts>
  <fonts count="70"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b/>
      <sz val="9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u/>
      <sz val="10"/>
      <color theme="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0"/>
      <color indexed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14"/>
      <name val="Arial"/>
      <family val="2"/>
    </font>
    <font>
      <sz val="10"/>
      <color indexed="22"/>
      <name val="Arial"/>
      <family val="2"/>
    </font>
    <font>
      <b/>
      <u/>
      <sz val="10"/>
      <name val="Arial"/>
      <family val="2"/>
    </font>
    <font>
      <u/>
      <sz val="10"/>
      <color indexed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0"/>
      <name val="Arial"/>
      <family val="2"/>
    </font>
    <font>
      <i/>
      <u/>
      <sz val="10"/>
      <name val="Arial"/>
      <family val="2"/>
    </font>
    <font>
      <u val="singleAccounting"/>
      <sz val="10"/>
      <name val="Arial"/>
      <family val="2"/>
    </font>
    <font>
      <b/>
      <i/>
      <sz val="10"/>
      <color indexed="14"/>
      <name val="Arial"/>
      <family val="2"/>
    </font>
    <font>
      <i/>
      <sz val="10"/>
      <color indexed="14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8.5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2"/>
      <color indexed="12"/>
      <name val="Times New Roman"/>
      <family val="1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/>
      <name val="Courier New"/>
      <family val="2"/>
    </font>
    <font>
      <sz val="9"/>
      <name val="Helv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9"/>
      <name val="Helv"/>
    </font>
    <font>
      <b/>
      <sz val="9"/>
      <color indexed="10"/>
      <name val="Helv"/>
    </font>
    <font>
      <sz val="10"/>
      <name val="Geneva"/>
      <family val="2"/>
    </font>
    <font>
      <u/>
      <sz val="9"/>
      <name val="Helv"/>
    </font>
    <font>
      <b/>
      <sz val="8"/>
      <name val="Helv"/>
    </font>
    <font>
      <i/>
      <sz val="9"/>
      <name val="Helv"/>
    </font>
    <font>
      <b/>
      <i/>
      <sz val="9"/>
      <name val="Helv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1" fontId="4" fillId="0" borderId="0"/>
    <xf numFmtId="0" fontId="5" fillId="0" borderId="0"/>
    <xf numFmtId="168" fontId="4" fillId="0" borderId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0" fontId="4" fillId="0" borderId="0"/>
    <xf numFmtId="0" fontId="4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7" borderId="0" applyNumberFormat="0" applyBorder="0" applyAlignment="0" applyProtection="0"/>
    <xf numFmtId="0" fontId="33" fillId="11" borderId="0" applyNumberFormat="0" applyBorder="0" applyAlignment="0" applyProtection="0"/>
    <xf numFmtId="0" fontId="34" fillId="28" borderId="24" applyNumberFormat="0" applyAlignment="0" applyProtection="0"/>
    <xf numFmtId="0" fontId="35" fillId="29" borderId="25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7" fillId="0" borderId="0" applyFont="0" applyFill="0" applyBorder="0" applyAlignment="0" applyProtection="0"/>
    <xf numFmtId="185" fontId="38" fillId="0" borderId="0" applyFont="0" applyFill="0" applyBorder="0" applyProtection="0">
      <alignment horizontal="right"/>
    </xf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left"/>
    </xf>
    <xf numFmtId="0" fontId="41" fillId="12" borderId="0" applyNumberFormat="0" applyBorder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4" fillId="0" borderId="28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15" borderId="24" applyNumberFormat="0" applyAlignment="0" applyProtection="0"/>
    <xf numFmtId="0" fontId="48" fillId="0" borderId="29" applyNumberFormat="0" applyFill="0" applyAlignment="0" applyProtection="0"/>
    <xf numFmtId="186" fontId="49" fillId="0" borderId="0" applyNumberFormat="0" applyFill="0" applyBorder="0" applyAlignment="0" applyProtection="0"/>
    <xf numFmtId="0" fontId="50" fillId="30" borderId="0" applyNumberFormat="0" applyBorder="0" applyAlignment="0" applyProtection="0"/>
    <xf numFmtId="165" fontId="51" fillId="0" borderId="0" applyFont="0" applyAlignment="0" applyProtection="0"/>
    <xf numFmtId="0" fontId="52" fillId="0" borderId="30" applyNumberFormat="0" applyBorder="0" applyAlignment="0"/>
    <xf numFmtId="168" fontId="4" fillId="0" borderId="0"/>
    <xf numFmtId="0" fontId="36" fillId="0" borderId="0"/>
    <xf numFmtId="0" fontId="36" fillId="0" borderId="0"/>
    <xf numFmtId="0" fontId="36" fillId="0" borderId="0"/>
    <xf numFmtId="0" fontId="53" fillId="0" borderId="0"/>
    <xf numFmtId="0" fontId="4" fillId="0" borderId="0"/>
    <xf numFmtId="0" fontId="4" fillId="0" borderId="0"/>
    <xf numFmtId="168" fontId="4" fillId="0" borderId="0"/>
    <xf numFmtId="0" fontId="54" fillId="0" borderId="0"/>
    <xf numFmtId="0" fontId="36" fillId="0" borderId="0"/>
    <xf numFmtId="168" fontId="4" fillId="0" borderId="0"/>
    <xf numFmtId="0" fontId="56" fillId="31" borderId="31" applyNumberFormat="0" applyFont="0" applyAlignment="0" applyProtection="0"/>
    <xf numFmtId="0" fontId="57" fillId="28" borderId="32" applyNumberFormat="0" applyAlignment="0" applyProtection="0"/>
    <xf numFmtId="12" fontId="14" fillId="32" borderId="33">
      <alignment horizontal="left"/>
    </xf>
    <xf numFmtId="0" fontId="58" fillId="0" borderId="0" applyNumberFormat="0" applyFill="0" applyBorder="0" applyAlignment="0" applyProtection="0"/>
    <xf numFmtId="0" fontId="59" fillId="0" borderId="34" applyNumberFormat="0" applyFill="0" applyAlignment="0" applyProtection="0"/>
    <xf numFmtId="187" fontId="60" fillId="0" borderId="0">
      <alignment horizontal="left"/>
    </xf>
    <xf numFmtId="37" fontId="52" fillId="4" borderId="0" applyNumberFormat="0" applyBorder="0" applyAlignment="0" applyProtection="0"/>
    <xf numFmtId="37" fontId="52" fillId="0" borderId="0"/>
    <xf numFmtId="37" fontId="52" fillId="0" borderId="0"/>
    <xf numFmtId="3" fontId="61" fillId="33" borderId="35" applyProtection="0"/>
    <xf numFmtId="0" fontId="62" fillId="0" borderId="0" applyNumberFormat="0" applyFill="0" applyBorder="0" applyAlignment="0" applyProtection="0"/>
    <xf numFmtId="41" fontId="55" fillId="0" borderId="0"/>
    <xf numFmtId="4" fontId="65" fillId="0" borderId="0" applyFont="0" applyFill="0" applyBorder="0" applyAlignment="0" applyProtection="0"/>
    <xf numFmtId="9" fontId="65" fillId="0" borderId="0" applyFont="0" applyFill="0" applyBorder="0" applyAlignment="0" applyProtection="0"/>
  </cellStyleXfs>
  <cellXfs count="311">
    <xf numFmtId="0" fontId="0" fillId="0" borderId="0" xfId="0"/>
    <xf numFmtId="41" fontId="7" fillId="0" borderId="0" xfId="4" applyFont="1"/>
    <xf numFmtId="41" fontId="7" fillId="0" borderId="0" xfId="4" applyFont="1" applyAlignment="1">
      <alignment horizontal="center"/>
    </xf>
    <xf numFmtId="0" fontId="1" fillId="0" borderId="0" xfId="0" applyFont="1"/>
    <xf numFmtId="49" fontId="8" fillId="0" borderId="0" xfId="4" applyNumberFormat="1" applyFont="1" applyAlignment="1">
      <alignment horizontal="center"/>
    </xf>
    <xf numFmtId="41" fontId="8" fillId="0" borderId="0" xfId="4" applyFont="1" applyAlignment="1">
      <alignment horizontal="center"/>
    </xf>
    <xf numFmtId="41" fontId="8" fillId="0" borderId="0" xfId="4" quotePrefix="1" applyFont="1" applyAlignment="1">
      <alignment horizontal="center"/>
    </xf>
    <xf numFmtId="41" fontId="8" fillId="0" borderId="0" xfId="4" quotePrefix="1" applyFont="1" applyFill="1" applyAlignment="1">
      <alignment horizontal="center"/>
    </xf>
    <xf numFmtId="0" fontId="8" fillId="0" borderId="0" xfId="5" applyFont="1"/>
    <xf numFmtId="41" fontId="8" fillId="0" borderId="0" xfId="4" applyFont="1" applyBorder="1" applyAlignment="1">
      <alignment horizontal="center"/>
    </xf>
    <xf numFmtId="41" fontId="8" fillId="0" borderId="0" xfId="4" applyFont="1" applyBorder="1" applyAlignment="1"/>
    <xf numFmtId="41" fontId="8" fillId="0" borderId="7" xfId="4" applyFont="1" applyFill="1" applyBorder="1" applyAlignment="1">
      <alignment horizontal="center"/>
    </xf>
    <xf numFmtId="41" fontId="8" fillId="0" borderId="8" xfId="4" applyFont="1" applyBorder="1" applyAlignment="1">
      <alignment horizontal="center"/>
    </xf>
    <xf numFmtId="41" fontId="8" fillId="0" borderId="11" xfId="4" applyFont="1" applyBorder="1" applyAlignment="1">
      <alignment horizontal="center"/>
    </xf>
    <xf numFmtId="41" fontId="8" fillId="0" borderId="12" xfId="4" applyFont="1" applyFill="1" applyBorder="1" applyAlignment="1">
      <alignment horizontal="center"/>
    </xf>
    <xf numFmtId="41" fontId="8" fillId="0" borderId="13" xfId="4" applyFont="1" applyBorder="1" applyAlignment="1">
      <alignment horizontal="center"/>
    </xf>
    <xf numFmtId="41" fontId="7" fillId="0" borderId="7" xfId="4" applyFont="1" applyFill="1" applyBorder="1" applyAlignment="1">
      <alignment horizontal="center"/>
    </xf>
    <xf numFmtId="41" fontId="7" fillId="0" borderId="8" xfId="4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41" fontId="7" fillId="0" borderId="0" xfId="4" applyFont="1" applyAlignment="1">
      <alignment horizontal="left" indent="1"/>
    </xf>
    <xf numFmtId="41" fontId="7" fillId="0" borderId="0" xfId="4" quotePrefix="1" applyFont="1" applyAlignment="1">
      <alignment horizontal="center"/>
    </xf>
    <xf numFmtId="164" fontId="7" fillId="0" borderId="0" xfId="2" applyNumberFormat="1" applyFont="1" applyAlignment="1">
      <alignment horizontal="center"/>
    </xf>
    <xf numFmtId="37" fontId="7" fillId="0" borderId="0" xfId="4" applyNumberFormat="1" applyFont="1"/>
    <xf numFmtId="41" fontId="7" fillId="0" borderId="7" xfId="4" quotePrefix="1" applyFont="1" applyFill="1" applyBorder="1" applyAlignment="1">
      <alignment horizontal="center"/>
    </xf>
    <xf numFmtId="41" fontId="7" fillId="0" borderId="8" xfId="4" quotePrefix="1" applyNumberFormat="1" applyFont="1" applyBorder="1" applyAlignment="1">
      <alignment horizontal="center"/>
    </xf>
    <xf numFmtId="41" fontId="7" fillId="0" borderId="8" xfId="4" quotePrefix="1" applyFont="1" applyBorder="1" applyAlignment="1">
      <alignment horizontal="center"/>
    </xf>
    <xf numFmtId="37" fontId="7" fillId="0" borderId="0" xfId="4" applyNumberFormat="1" applyFont="1" applyBorder="1"/>
    <xf numFmtId="37" fontId="7" fillId="0" borderId="14" xfId="4" applyNumberFormat="1" applyFont="1" applyFill="1" applyBorder="1"/>
    <xf numFmtId="37" fontId="7" fillId="0" borderId="15" xfId="4" applyNumberFormat="1" applyFont="1" applyBorder="1"/>
    <xf numFmtId="41" fontId="7" fillId="0" borderId="0" xfId="4" applyFont="1" applyAlignment="1">
      <alignment horizontal="left"/>
    </xf>
    <xf numFmtId="37" fontId="7" fillId="0" borderId="7" xfId="4" applyNumberFormat="1" applyFont="1" applyFill="1" applyBorder="1"/>
    <xf numFmtId="37" fontId="7" fillId="0" borderId="8" xfId="4" applyNumberFormat="1" applyFont="1" applyBorder="1"/>
    <xf numFmtId="41" fontId="7" fillId="0" borderId="0" xfId="4" applyFont="1" applyBorder="1" applyAlignment="1">
      <alignment horizontal="center"/>
    </xf>
    <xf numFmtId="41" fontId="9" fillId="0" borderId="7" xfId="4" applyFont="1" applyFill="1" applyBorder="1" applyAlignment="1">
      <alignment horizontal="center"/>
    </xf>
    <xf numFmtId="41" fontId="7" fillId="0" borderId="7" xfId="4" applyFont="1" applyFill="1" applyBorder="1"/>
    <xf numFmtId="41" fontId="9" fillId="0" borderId="0" xfId="4" applyFont="1" applyFill="1" applyBorder="1" applyAlignment="1">
      <alignment horizontal="right"/>
    </xf>
    <xf numFmtId="49" fontId="8" fillId="0" borderId="1" xfId="4" applyNumberFormat="1" applyFont="1" applyFill="1" applyBorder="1" applyAlignment="1">
      <alignment horizontal="centerContinuous"/>
    </xf>
    <xf numFmtId="49" fontId="8" fillId="0" borderId="2" xfId="4" applyNumberFormat="1" applyFont="1" applyFill="1" applyBorder="1" applyAlignment="1">
      <alignment horizontal="centerContinuous"/>
    </xf>
    <xf numFmtId="0" fontId="6" fillId="0" borderId="0" xfId="3" applyFont="1" applyAlignment="1"/>
    <xf numFmtId="41" fontId="7" fillId="0" borderId="7" xfId="4" applyFont="1" applyFill="1" applyBorder="1" applyAlignment="1">
      <alignment horizontal="center"/>
    </xf>
    <xf numFmtId="41" fontId="7" fillId="0" borderId="8" xfId="4" applyFont="1" applyFill="1" applyBorder="1" applyAlignment="1">
      <alignment horizontal="center"/>
    </xf>
    <xf numFmtId="1" fontId="11" fillId="0" borderId="0" xfId="6" applyNumberFormat="1" applyFont="1"/>
    <xf numFmtId="169" fontId="11" fillId="0" borderId="0" xfId="7" applyFont="1"/>
    <xf numFmtId="1" fontId="12" fillId="0" borderId="0" xfId="6" applyNumberFormat="1" applyFont="1" applyAlignment="1">
      <alignment horizontal="center"/>
    </xf>
    <xf numFmtId="1" fontId="13" fillId="0" borderId="0" xfId="6" applyNumberFormat="1" applyFont="1"/>
    <xf numFmtId="1" fontId="12" fillId="0" borderId="0" xfId="6" applyNumberFormat="1" applyFont="1" applyAlignment="1">
      <alignment horizontal="right"/>
    </xf>
    <xf numFmtId="168" fontId="11" fillId="0" borderId="0" xfId="6" applyFont="1"/>
    <xf numFmtId="1" fontId="11" fillId="0" borderId="0" xfId="6" applyNumberFormat="1" applyFont="1" applyAlignment="1">
      <alignment horizontal="center"/>
    </xf>
    <xf numFmtId="0" fontId="11" fillId="0" borderId="0" xfId="6" applyNumberFormat="1" applyFont="1"/>
    <xf numFmtId="1" fontId="11" fillId="0" borderId="0" xfId="6" quotePrefix="1" applyNumberFormat="1" applyFont="1" applyAlignment="1">
      <alignment horizontal="center"/>
    </xf>
    <xf numFmtId="17" fontId="11" fillId="0" borderId="0" xfId="6" applyNumberFormat="1" applyFont="1" applyAlignment="1">
      <alignment horizontal="center"/>
    </xf>
    <xf numFmtId="1" fontId="4" fillId="0" borderId="0" xfId="6" applyNumberFormat="1" applyFont="1"/>
    <xf numFmtId="169" fontId="4" fillId="0" borderId="0" xfId="7" applyFont="1"/>
    <xf numFmtId="168" fontId="4" fillId="0" borderId="0" xfId="6"/>
    <xf numFmtId="168" fontId="4" fillId="0" borderId="0" xfId="6" applyFont="1"/>
    <xf numFmtId="1" fontId="14" fillId="0" borderId="0" xfId="6" applyNumberFormat="1" applyFont="1" applyAlignment="1">
      <alignment horizontal="center"/>
    </xf>
    <xf numFmtId="1" fontId="14" fillId="0" borderId="0" xfId="6" applyNumberFormat="1" applyFont="1"/>
    <xf numFmtId="170" fontId="4" fillId="0" borderId="0" xfId="6" applyNumberFormat="1" applyFont="1"/>
    <xf numFmtId="169" fontId="4" fillId="0" borderId="0" xfId="7" applyFont="1" applyFill="1"/>
    <xf numFmtId="171" fontId="4" fillId="0" borderId="0" xfId="6" applyNumberFormat="1" applyFont="1" applyFill="1" applyBorder="1"/>
    <xf numFmtId="1" fontId="4" fillId="2" borderId="0" xfId="6" applyNumberFormat="1" applyFont="1" applyFill="1"/>
    <xf numFmtId="1" fontId="4" fillId="3" borderId="0" xfId="6" applyNumberFormat="1" applyFont="1" applyFill="1"/>
    <xf numFmtId="1" fontId="4" fillId="4" borderId="0" xfId="6" applyNumberFormat="1" applyFont="1" applyFill="1"/>
    <xf numFmtId="1" fontId="15" fillId="0" borderId="0" xfId="6" applyNumberFormat="1" applyFont="1"/>
    <xf numFmtId="1" fontId="4" fillId="0" borderId="0" xfId="6" applyNumberFormat="1" applyFont="1" applyFill="1"/>
    <xf numFmtId="171" fontId="16" fillId="0" borderId="0" xfId="6" applyNumberFormat="1" applyFont="1" applyFill="1" applyBorder="1"/>
    <xf numFmtId="171" fontId="4" fillId="0" borderId="0" xfId="6" applyNumberFormat="1" applyFont="1" applyFill="1"/>
    <xf numFmtId="171" fontId="4" fillId="0" borderId="0" xfId="6" applyNumberFormat="1" applyFont="1"/>
    <xf numFmtId="171" fontId="11" fillId="0" borderId="0" xfId="6" applyNumberFormat="1" applyFont="1" applyFill="1"/>
    <xf numFmtId="1" fontId="17" fillId="0" borderId="0" xfId="6" applyNumberFormat="1" applyFont="1"/>
    <xf numFmtId="1" fontId="18" fillId="0" borderId="0" xfId="6" applyNumberFormat="1" applyFont="1"/>
    <xf numFmtId="1" fontId="11" fillId="0" borderId="0" xfId="6" applyNumberFormat="1" applyFont="1" applyFill="1"/>
    <xf numFmtId="1" fontId="16" fillId="0" borderId="0" xfId="6" applyNumberFormat="1" applyFont="1"/>
    <xf numFmtId="1" fontId="19" fillId="0" borderId="0" xfId="6" applyNumberFormat="1" applyFont="1"/>
    <xf numFmtId="1" fontId="20" fillId="0" borderId="0" xfId="6" applyNumberFormat="1" applyFont="1"/>
    <xf numFmtId="170" fontId="16" fillId="0" borderId="0" xfId="6" applyNumberFormat="1" applyFont="1" applyFill="1" applyBorder="1"/>
    <xf numFmtId="171" fontId="16" fillId="0" borderId="0" xfId="6" applyNumberFormat="1" applyFont="1" applyFill="1"/>
    <xf numFmtId="0" fontId="4" fillId="0" borderId="0" xfId="6" applyNumberFormat="1" applyFont="1" applyBorder="1"/>
    <xf numFmtId="1" fontId="12" fillId="0" borderId="0" xfId="6" applyNumberFormat="1" applyFont="1"/>
    <xf numFmtId="171" fontId="21" fillId="0" borderId="0" xfId="6" applyNumberFormat="1" applyFont="1" applyAlignment="1">
      <alignment horizontal="right"/>
    </xf>
    <xf numFmtId="171" fontId="11" fillId="0" borderId="0" xfId="6" applyNumberFormat="1" applyFont="1" applyAlignment="1"/>
    <xf numFmtId="168" fontId="15" fillId="0" borderId="0" xfId="6" applyFont="1"/>
    <xf numFmtId="169" fontId="0" fillId="0" borderId="0" xfId="7" applyFont="1"/>
    <xf numFmtId="1" fontId="11" fillId="0" borderId="0" xfId="6" applyNumberFormat="1" applyFont="1" applyBorder="1"/>
    <xf numFmtId="1" fontId="4" fillId="0" borderId="0" xfId="6" applyNumberFormat="1" applyFont="1" applyBorder="1"/>
    <xf numFmtId="169" fontId="4" fillId="0" borderId="0" xfId="7" applyFont="1" applyBorder="1"/>
    <xf numFmtId="168" fontId="4" fillId="0" borderId="0" xfId="6" applyFont="1" applyBorder="1"/>
    <xf numFmtId="0" fontId="4" fillId="5" borderId="0" xfId="6" applyNumberFormat="1" applyFont="1" applyFill="1" applyBorder="1"/>
    <xf numFmtId="168" fontId="4" fillId="0" borderId="0" xfId="6" applyFont="1" applyFill="1"/>
    <xf numFmtId="1" fontId="4" fillId="2" borderId="0" xfId="6" applyNumberFormat="1" applyFont="1" applyFill="1" applyBorder="1"/>
    <xf numFmtId="168" fontId="4" fillId="0" borderId="0" xfId="6" applyFont="1" applyFill="1" applyBorder="1"/>
    <xf numFmtId="169" fontId="4" fillId="0" borderId="0" xfId="7" applyFont="1" applyFill="1" applyBorder="1"/>
    <xf numFmtId="170" fontId="4" fillId="0" borderId="0" xfId="6" applyNumberFormat="1" applyFont="1" applyFill="1" applyBorder="1"/>
    <xf numFmtId="171" fontId="11" fillId="0" borderId="0" xfId="6" applyNumberFormat="1" applyFont="1" applyAlignment="1">
      <alignment horizontal="center"/>
    </xf>
    <xf numFmtId="171" fontId="11" fillId="0" borderId="0" xfId="6" quotePrefix="1" applyNumberFormat="1" applyFont="1" applyAlignment="1">
      <alignment horizontal="center"/>
    </xf>
    <xf numFmtId="171" fontId="11" fillId="0" borderId="0" xfId="6" applyNumberFormat="1" applyFont="1" applyFill="1" applyAlignment="1">
      <alignment horizontal="left"/>
    </xf>
    <xf numFmtId="171" fontId="11" fillId="0" borderId="0" xfId="6" applyNumberFormat="1" applyFont="1" applyFill="1" applyAlignment="1">
      <alignment horizontal="center"/>
    </xf>
    <xf numFmtId="169" fontId="16" fillId="0" borderId="0" xfId="7" applyFont="1"/>
    <xf numFmtId="172" fontId="4" fillId="0" borderId="0" xfId="6" applyNumberFormat="1" applyFont="1" applyFill="1"/>
    <xf numFmtId="171" fontId="16" fillId="0" borderId="0" xfId="6" applyNumberFormat="1" applyFont="1"/>
    <xf numFmtId="172" fontId="16" fillId="0" borderId="0" xfId="6" applyNumberFormat="1" applyFont="1" applyFill="1"/>
    <xf numFmtId="165" fontId="4" fillId="0" borderId="0" xfId="6" applyNumberFormat="1" applyFont="1" applyFill="1"/>
    <xf numFmtId="165" fontId="16" fillId="0" borderId="0" xfId="6" applyNumberFormat="1" applyFont="1" applyFill="1"/>
    <xf numFmtId="1" fontId="14" fillId="0" borderId="0" xfId="6" applyNumberFormat="1" applyFont="1" applyFill="1"/>
    <xf numFmtId="169" fontId="16" fillId="0" borderId="0" xfId="7" applyFont="1" applyFill="1"/>
    <xf numFmtId="1" fontId="4" fillId="6" borderId="0" xfId="6" applyNumberFormat="1" applyFont="1" applyFill="1"/>
    <xf numFmtId="173" fontId="15" fillId="2" borderId="0" xfId="6" applyNumberFormat="1" applyFont="1" applyFill="1"/>
    <xf numFmtId="170" fontId="4" fillId="0" borderId="0" xfId="6" applyNumberFormat="1" applyFont="1" applyFill="1" applyAlignment="1">
      <alignment horizontal="fill"/>
    </xf>
    <xf numFmtId="170" fontId="11" fillId="0" borderId="0" xfId="6" applyNumberFormat="1" applyFont="1" applyFill="1"/>
    <xf numFmtId="170" fontId="4" fillId="0" borderId="0" xfId="6" applyNumberFormat="1" applyFont="1" applyFill="1"/>
    <xf numFmtId="1" fontId="11" fillId="4" borderId="0" xfId="6" applyNumberFormat="1" applyFont="1" applyFill="1"/>
    <xf numFmtId="169" fontId="11" fillId="4" borderId="0" xfId="7" applyFont="1" applyFill="1"/>
    <xf numFmtId="174" fontId="11" fillId="4" borderId="0" xfId="6" applyNumberFormat="1" applyFont="1" applyFill="1"/>
    <xf numFmtId="1" fontId="21" fillId="4" borderId="0" xfId="6" applyNumberFormat="1" applyFont="1" applyFill="1"/>
    <xf numFmtId="168" fontId="22" fillId="0" borderId="0" xfId="6" applyFont="1"/>
    <xf numFmtId="9" fontId="4" fillId="0" borderId="0" xfId="8" applyFont="1" applyFill="1"/>
    <xf numFmtId="170" fontId="14" fillId="0" borderId="0" xfId="6" applyNumberFormat="1" applyFont="1" applyFill="1" applyAlignment="1">
      <alignment horizontal="center"/>
    </xf>
    <xf numFmtId="169" fontId="11" fillId="0" borderId="0" xfId="7" applyFont="1" applyAlignment="1">
      <alignment horizontal="center"/>
    </xf>
    <xf numFmtId="174" fontId="11" fillId="0" borderId="0" xfId="6" applyNumberFormat="1" applyFont="1" applyAlignment="1">
      <alignment horizontal="center"/>
    </xf>
    <xf numFmtId="170" fontId="11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169" fontId="4" fillId="0" borderId="0" xfId="7" applyFont="1" applyAlignment="1">
      <alignment horizontal="center"/>
    </xf>
    <xf numFmtId="170" fontId="4" fillId="0" borderId="0" xfId="6" applyNumberFormat="1" applyFont="1" applyFill="1" applyAlignment="1">
      <alignment horizontal="right"/>
    </xf>
    <xf numFmtId="175" fontId="4" fillId="0" borderId="0" xfId="6" applyNumberFormat="1" applyFont="1" applyFill="1"/>
    <xf numFmtId="1" fontId="23" fillId="0" borderId="0" xfId="6" applyNumberFormat="1" applyFont="1"/>
    <xf numFmtId="168" fontId="18" fillId="0" borderId="0" xfId="6" applyFont="1"/>
    <xf numFmtId="171" fontId="4" fillId="0" borderId="0" xfId="6" applyNumberFormat="1" applyFont="1" applyFill="1" applyAlignment="1">
      <alignment horizontal="fill"/>
    </xf>
    <xf numFmtId="171" fontId="24" fillId="0" borderId="0" xfId="6" applyNumberFormat="1" applyFont="1" applyAlignment="1">
      <alignment horizontal="right"/>
    </xf>
    <xf numFmtId="171" fontId="16" fillId="0" borderId="0" xfId="6" applyNumberFormat="1" applyFont="1" applyAlignment="1">
      <alignment horizontal="right"/>
    </xf>
    <xf numFmtId="176" fontId="4" fillId="0" borderId="0" xfId="7" applyNumberFormat="1" applyFont="1" applyFill="1"/>
    <xf numFmtId="171" fontId="4" fillId="0" borderId="0" xfId="6" applyNumberFormat="1" applyFont="1" applyBorder="1"/>
    <xf numFmtId="171" fontId="25" fillId="0" borderId="0" xfId="6" applyNumberFormat="1" applyFont="1" applyFill="1" applyBorder="1"/>
    <xf numFmtId="168" fontId="4" fillId="0" borderId="0" xfId="6" applyFill="1"/>
    <xf numFmtId="171" fontId="22" fillId="0" borderId="0" xfId="6" applyNumberFormat="1" applyFont="1" applyAlignment="1">
      <alignment horizontal="center"/>
    </xf>
    <xf numFmtId="171" fontId="4" fillId="0" borderId="0" xfId="6" applyNumberFormat="1" applyFont="1" applyAlignment="1">
      <alignment horizontal="center"/>
    </xf>
    <xf numFmtId="1" fontId="16" fillId="2" borderId="0" xfId="6" applyNumberFormat="1" applyFont="1" applyFill="1"/>
    <xf numFmtId="1" fontId="19" fillId="0" borderId="0" xfId="6" applyNumberFormat="1" applyFont="1" applyFill="1"/>
    <xf numFmtId="1" fontId="16" fillId="0" borderId="0" xfId="6" applyNumberFormat="1" applyFont="1" applyFill="1"/>
    <xf numFmtId="170" fontId="4" fillId="0" borderId="0" xfId="6" applyNumberFormat="1" applyFont="1" applyBorder="1"/>
    <xf numFmtId="1" fontId="4" fillId="7" borderId="0" xfId="6" applyNumberFormat="1" applyFont="1" applyFill="1"/>
    <xf numFmtId="169" fontId="11" fillId="0" borderId="0" xfId="7" applyFont="1" applyAlignment="1">
      <alignment horizontal="left"/>
    </xf>
    <xf numFmtId="1" fontId="26" fillId="0" borderId="0" xfId="6" applyNumberFormat="1" applyFont="1" applyAlignment="1">
      <alignment horizontal="center"/>
    </xf>
    <xf numFmtId="1" fontId="27" fillId="0" borderId="0" xfId="6" applyNumberFormat="1" applyFont="1" applyAlignment="1">
      <alignment horizontal="center"/>
    </xf>
    <xf numFmtId="169" fontId="27" fillId="0" borderId="0" xfId="7" applyFont="1" applyAlignment="1">
      <alignment horizontal="center"/>
    </xf>
    <xf numFmtId="170" fontId="27" fillId="0" borderId="0" xfId="6" applyNumberFormat="1" applyFont="1" applyFill="1" applyAlignment="1">
      <alignment horizontal="center"/>
    </xf>
    <xf numFmtId="1" fontId="26" fillId="4" borderId="0" xfId="6" applyNumberFormat="1" applyFont="1" applyFill="1" applyAlignment="1">
      <alignment horizontal="center"/>
    </xf>
    <xf numFmtId="1" fontId="27" fillId="4" borderId="0" xfId="6" applyNumberFormat="1" applyFont="1" applyFill="1" applyAlignment="1">
      <alignment horizontal="center"/>
    </xf>
    <xf numFmtId="169" fontId="27" fillId="4" borderId="0" xfId="7" applyFont="1" applyFill="1" applyAlignment="1">
      <alignment horizontal="center"/>
    </xf>
    <xf numFmtId="170" fontId="27" fillId="4" borderId="0" xfId="6" applyNumberFormat="1" applyFont="1" applyFill="1" applyAlignment="1">
      <alignment horizontal="center"/>
    </xf>
    <xf numFmtId="168" fontId="4" fillId="4" borderId="0" xfId="6" applyFont="1" applyFill="1" applyBorder="1"/>
    <xf numFmtId="168" fontId="4" fillId="4" borderId="0" xfId="6" applyFont="1" applyFill="1"/>
    <xf numFmtId="3" fontId="4" fillId="0" borderId="0" xfId="6" applyNumberFormat="1" applyFont="1" applyFill="1"/>
    <xf numFmtId="3" fontId="14" fillId="0" borderId="0" xfId="6" applyNumberFormat="1" applyFont="1" applyFill="1" applyAlignment="1">
      <alignment horizontal="center"/>
    </xf>
    <xf numFmtId="1" fontId="27" fillId="0" borderId="0" xfId="6" applyNumberFormat="1" applyFont="1" applyAlignment="1">
      <alignment horizontal="left"/>
    </xf>
    <xf numFmtId="177" fontId="4" fillId="0" borderId="0" xfId="6" applyNumberFormat="1" applyFont="1" applyFill="1"/>
    <xf numFmtId="178" fontId="4" fillId="0" borderId="0" xfId="6" applyNumberFormat="1" applyFont="1" applyFill="1"/>
    <xf numFmtId="179" fontId="4" fillId="0" borderId="0" xfId="6" applyNumberFormat="1" applyFont="1" applyFill="1"/>
    <xf numFmtId="1" fontId="28" fillId="0" borderId="0" xfId="6" applyNumberFormat="1" applyFont="1"/>
    <xf numFmtId="169" fontId="28" fillId="0" borderId="0" xfId="7" applyFont="1"/>
    <xf numFmtId="179" fontId="28" fillId="0" borderId="0" xfId="6" applyNumberFormat="1" applyFont="1" applyFill="1"/>
    <xf numFmtId="168" fontId="28" fillId="0" borderId="0" xfId="6" applyFont="1"/>
    <xf numFmtId="180" fontId="4" fillId="0" borderId="0" xfId="8" applyNumberFormat="1" applyFont="1" applyFill="1"/>
    <xf numFmtId="180" fontId="4" fillId="0" borderId="0" xfId="6" applyNumberFormat="1" applyFont="1" applyFill="1"/>
    <xf numFmtId="14" fontId="4" fillId="0" borderId="0" xfId="6" applyNumberFormat="1" applyFont="1"/>
    <xf numFmtId="181" fontId="4" fillId="0" borderId="0" xfId="6" applyNumberFormat="1"/>
    <xf numFmtId="181" fontId="4" fillId="0" borderId="0" xfId="6" applyNumberFormat="1" applyFont="1"/>
    <xf numFmtId="181" fontId="0" fillId="0" borderId="0" xfId="7" applyNumberFormat="1" applyFont="1"/>
    <xf numFmtId="181" fontId="4" fillId="0" borderId="0" xfId="7" applyNumberFormat="1" applyFont="1"/>
    <xf numFmtId="182" fontId="4" fillId="0" borderId="0" xfId="7" applyNumberFormat="1" applyFont="1" applyFill="1"/>
    <xf numFmtId="169" fontId="4" fillId="4" borderId="0" xfId="7" applyFont="1" applyFill="1"/>
    <xf numFmtId="169" fontId="4" fillId="4" borderId="0" xfId="7" applyFont="1" applyFill="1" applyBorder="1"/>
    <xf numFmtId="169" fontId="4" fillId="0" borderId="0" xfId="7" applyFont="1" applyBorder="1" applyAlignment="1">
      <alignment horizontal="left"/>
    </xf>
    <xf numFmtId="182" fontId="4" fillId="0" borderId="0" xfId="7" applyNumberFormat="1" applyFont="1" applyBorder="1" applyAlignment="1">
      <alignment horizontal="right"/>
    </xf>
    <xf numFmtId="182" fontId="4" fillId="0" borderId="0" xfId="7" applyNumberFormat="1" applyFont="1" applyFill="1" applyBorder="1"/>
    <xf numFmtId="182" fontId="4" fillId="0" borderId="20" xfId="7" applyNumberFormat="1" applyFont="1" applyFill="1" applyBorder="1"/>
    <xf numFmtId="182" fontId="4" fillId="0" borderId="0" xfId="7" applyNumberFormat="1" applyFont="1"/>
    <xf numFmtId="182" fontId="4" fillId="0" borderId="21" xfId="7" applyNumberFormat="1" applyFont="1" applyFill="1" applyBorder="1"/>
    <xf numFmtId="182" fontId="4" fillId="0" borderId="11" xfId="7" applyNumberFormat="1" applyFont="1" applyBorder="1"/>
    <xf numFmtId="169" fontId="11" fillId="0" borderId="0" xfId="7" applyFont="1" applyFill="1"/>
    <xf numFmtId="1" fontId="4" fillId="0" borderId="5" xfId="6" applyNumberFormat="1" applyFont="1" applyBorder="1"/>
    <xf numFmtId="1" fontId="4" fillId="0" borderId="20" xfId="6" applyNumberFormat="1" applyFont="1" applyBorder="1"/>
    <xf numFmtId="1" fontId="4" fillId="0" borderId="6" xfId="6" applyNumberFormat="1" applyFont="1" applyBorder="1"/>
    <xf numFmtId="182" fontId="4" fillId="8" borderId="0" xfId="6" applyNumberFormat="1" applyFont="1" applyFill="1" applyBorder="1"/>
    <xf numFmtId="182" fontId="4" fillId="0" borderId="22" xfId="7" applyNumberFormat="1" applyFont="1" applyBorder="1"/>
    <xf numFmtId="1" fontId="4" fillId="0" borderId="23" xfId="6" applyNumberFormat="1" applyFont="1" applyBorder="1"/>
    <xf numFmtId="182" fontId="4" fillId="0" borderId="0" xfId="6" applyNumberFormat="1" applyFont="1" applyFill="1" applyBorder="1"/>
    <xf numFmtId="0" fontId="29" fillId="0" borderId="22" xfId="9" applyFont="1" applyBorder="1"/>
    <xf numFmtId="0" fontId="29" fillId="0" borderId="0" xfId="9" applyFont="1" applyBorder="1"/>
    <xf numFmtId="169" fontId="4" fillId="0" borderId="0" xfId="7" applyFont="1" applyBorder="1" applyAlignment="1">
      <alignment horizontal="right"/>
    </xf>
    <xf numFmtId="169" fontId="4" fillId="0" borderId="0" xfId="7" applyFont="1" applyAlignment="1">
      <alignment horizontal="right"/>
    </xf>
    <xf numFmtId="1" fontId="4" fillId="0" borderId="0" xfId="6" applyNumberFormat="1" applyFont="1" applyFill="1" applyBorder="1"/>
    <xf numFmtId="0" fontId="29" fillId="0" borderId="9" xfId="9" applyFont="1" applyBorder="1"/>
    <xf numFmtId="0" fontId="29" fillId="0" borderId="11" xfId="9" applyFont="1" applyBorder="1"/>
    <xf numFmtId="0" fontId="29" fillId="0" borderId="10" xfId="9" applyFont="1" applyBorder="1"/>
    <xf numFmtId="3" fontId="11" fillId="0" borderId="0" xfId="6" applyNumberFormat="1" applyFont="1" applyFill="1"/>
    <xf numFmtId="1" fontId="21" fillId="0" borderId="0" xfId="6" applyNumberFormat="1" applyFont="1" applyAlignment="1">
      <alignment horizontal="right"/>
    </xf>
    <xf numFmtId="174" fontId="4" fillId="0" borderId="0" xfId="6" applyNumberFormat="1" applyFont="1" applyFill="1"/>
    <xf numFmtId="174" fontId="21" fillId="0" borderId="0" xfId="6" applyNumberFormat="1" applyFont="1" applyAlignment="1">
      <alignment horizontal="right"/>
    </xf>
    <xf numFmtId="174" fontId="4" fillId="0" borderId="0" xfId="6" applyNumberFormat="1" applyFont="1"/>
    <xf numFmtId="183" fontId="4" fillId="0" borderId="0" xfId="6" applyNumberFormat="1" applyFont="1" applyFill="1"/>
    <xf numFmtId="1" fontId="11" fillId="0" borderId="0" xfId="6" applyNumberFormat="1" applyFont="1" applyAlignment="1">
      <alignment horizontal="right"/>
    </xf>
    <xf numFmtId="17" fontId="11" fillId="0" borderId="0" xfId="6" applyNumberFormat="1" applyFont="1" applyAlignment="1">
      <alignment horizontal="right"/>
    </xf>
    <xf numFmtId="1" fontId="4" fillId="0" borderId="0" xfId="6" applyNumberFormat="1" applyFont="1" applyAlignment="1">
      <alignment horizontal="right"/>
    </xf>
    <xf numFmtId="184" fontId="4" fillId="0" borderId="0" xfId="8" applyNumberFormat="1" applyFont="1"/>
    <xf numFmtId="1" fontId="11" fillId="9" borderId="0" xfId="6" applyNumberFormat="1" applyFont="1" applyFill="1"/>
    <xf numFmtId="1" fontId="4" fillId="9" borderId="0" xfId="6" applyNumberFormat="1" applyFont="1" applyFill="1" applyBorder="1"/>
    <xf numFmtId="169" fontId="4" fillId="9" borderId="0" xfId="7" applyFont="1" applyFill="1" applyBorder="1"/>
    <xf numFmtId="1" fontId="4" fillId="9" borderId="0" xfId="6" applyNumberFormat="1" applyFont="1" applyFill="1"/>
    <xf numFmtId="170" fontId="4" fillId="9" borderId="0" xfId="6" applyNumberFormat="1" applyFont="1" applyFill="1" applyBorder="1"/>
    <xf numFmtId="170" fontId="11" fillId="9" borderId="0" xfId="6" applyNumberFormat="1" applyFont="1" applyFill="1" applyBorder="1"/>
    <xf numFmtId="168" fontId="4" fillId="9" borderId="0" xfId="6" applyFill="1"/>
    <xf numFmtId="168" fontId="4" fillId="9" borderId="0" xfId="6" applyFont="1" applyFill="1"/>
    <xf numFmtId="0" fontId="4" fillId="0" borderId="0" xfId="6" applyNumberFormat="1" applyFont="1" applyFill="1" applyBorder="1"/>
    <xf numFmtId="1" fontId="18" fillId="0" borderId="0" xfId="6" applyNumberFormat="1" applyFont="1" applyFill="1"/>
    <xf numFmtId="41" fontId="55" fillId="0" borderId="0" xfId="89" applyFont="1"/>
    <xf numFmtId="41" fontId="38" fillId="0" borderId="0" xfId="89" applyFont="1"/>
    <xf numFmtId="38" fontId="55" fillId="0" borderId="0" xfId="89" applyNumberFormat="1" applyFont="1" applyAlignment="1">
      <alignment horizontal="fill"/>
    </xf>
    <xf numFmtId="41" fontId="55" fillId="0" borderId="0" xfId="89" applyFont="1" applyAlignment="1">
      <alignment horizontal="fill"/>
    </xf>
    <xf numFmtId="188" fontId="63" fillId="4" borderId="2" xfId="89" applyNumberFormat="1" applyFont="1" applyFill="1" applyBorder="1"/>
    <xf numFmtId="41" fontId="64" fillId="4" borderId="36" xfId="89" applyFont="1" applyFill="1" applyBorder="1" applyAlignment="1">
      <alignment horizontal="center"/>
    </xf>
    <xf numFmtId="188" fontId="63" fillId="4" borderId="1" xfId="89" applyNumberFormat="1" applyFont="1" applyFill="1" applyBorder="1"/>
    <xf numFmtId="41" fontId="55" fillId="0" borderId="0" xfId="89" applyNumberFormat="1" applyFont="1"/>
    <xf numFmtId="188" fontId="55" fillId="0" borderId="0" xfId="89" applyNumberFormat="1" applyFont="1"/>
    <xf numFmtId="41" fontId="55" fillId="0" borderId="0" xfId="89" applyFont="1" applyAlignment="1">
      <alignment horizontal="right"/>
    </xf>
    <xf numFmtId="41" fontId="55" fillId="0" borderId="0" xfId="89"/>
    <xf numFmtId="3" fontId="55" fillId="0" borderId="0" xfId="89" applyNumberFormat="1" applyFont="1"/>
    <xf numFmtId="188" fontId="55" fillId="0" borderId="0" xfId="89" applyNumberFormat="1"/>
    <xf numFmtId="189" fontId="55" fillId="0" borderId="0" xfId="89" applyNumberFormat="1" applyFont="1"/>
    <xf numFmtId="41" fontId="55" fillId="0" borderId="0" xfId="89" applyFont="1" applyFill="1"/>
    <xf numFmtId="41" fontId="64" fillId="4" borderId="1" xfId="89" applyFont="1" applyFill="1" applyBorder="1"/>
    <xf numFmtId="4" fontId="55" fillId="0" borderId="0" xfId="89" applyNumberFormat="1" applyFont="1"/>
    <xf numFmtId="3" fontId="55" fillId="0" borderId="0" xfId="90" applyNumberFormat="1" applyFont="1"/>
    <xf numFmtId="41" fontId="49" fillId="34" borderId="0" xfId="89" applyFont="1" applyFill="1"/>
    <xf numFmtId="38" fontId="55" fillId="0" borderId="0" xfId="89" applyNumberFormat="1"/>
    <xf numFmtId="41" fontId="55" fillId="0" borderId="0" xfId="89" applyNumberFormat="1" applyFont="1" applyFill="1"/>
    <xf numFmtId="38" fontId="55" fillId="0" borderId="0" xfId="89" applyNumberFormat="1" applyFont="1"/>
    <xf numFmtId="41" fontId="55" fillId="0" borderId="0" xfId="89" quotePrefix="1" applyFont="1" applyAlignment="1">
      <alignment horizontal="left"/>
    </xf>
    <xf numFmtId="41" fontId="55" fillId="0" borderId="0" xfId="89" applyFill="1"/>
    <xf numFmtId="190" fontId="55" fillId="0" borderId="0" xfId="91" applyNumberFormat="1" applyFont="1"/>
    <xf numFmtId="41" fontId="55" fillId="0" borderId="0" xfId="89" applyNumberFormat="1"/>
    <xf numFmtId="41" fontId="66" fillId="0" borderId="0" xfId="89" applyNumberFormat="1" applyFont="1"/>
    <xf numFmtId="10" fontId="55" fillId="0" borderId="0" xfId="89" applyNumberFormat="1" applyFont="1"/>
    <xf numFmtId="41" fontId="55" fillId="0" borderId="0" xfId="89" quotePrefix="1" applyNumberFormat="1" applyFont="1"/>
    <xf numFmtId="165" fontId="55" fillId="0" borderId="0" xfId="89" applyNumberFormat="1" applyFont="1"/>
    <xf numFmtId="41" fontId="11" fillId="0" borderId="0" xfId="89" applyFont="1" applyFill="1"/>
    <xf numFmtId="3" fontId="55" fillId="0" borderId="0" xfId="89" applyNumberFormat="1"/>
    <xf numFmtId="191" fontId="55" fillId="0" borderId="0" xfId="89" applyNumberFormat="1" applyFont="1"/>
    <xf numFmtId="10" fontId="55" fillId="0" borderId="0" xfId="91" applyNumberFormat="1" applyFont="1"/>
    <xf numFmtId="192" fontId="55" fillId="0" borderId="0" xfId="89" applyNumberFormat="1" applyFont="1"/>
    <xf numFmtId="14" fontId="63" fillId="35" borderId="0" xfId="89" applyNumberFormat="1" applyFont="1" applyFill="1" applyAlignment="1">
      <alignment horizontal="center"/>
    </xf>
    <xf numFmtId="41" fontId="55" fillId="35" borderId="0" xfId="89" applyFont="1" applyFill="1"/>
    <xf numFmtId="41" fontId="67" fillId="35" borderId="0" xfId="89" applyFont="1" applyFill="1"/>
    <xf numFmtId="41" fontId="63" fillId="0" borderId="0" xfId="89" applyFont="1" applyAlignment="1">
      <alignment horizontal="center"/>
    </xf>
    <xf numFmtId="41" fontId="38" fillId="0" borderId="0" xfId="89" applyFont="1" applyAlignment="1">
      <alignment horizontal="right"/>
    </xf>
    <xf numFmtId="189" fontId="66" fillId="0" borderId="0" xfId="89" applyNumberFormat="1" applyFont="1" applyAlignment="1">
      <alignment horizontal="center"/>
    </xf>
    <xf numFmtId="193" fontId="66" fillId="0" borderId="0" xfId="89" applyNumberFormat="1" applyFont="1" applyAlignment="1">
      <alignment horizontal="right"/>
    </xf>
    <xf numFmtId="0" fontId="66" fillId="0" borderId="0" xfId="89" applyNumberFormat="1" applyFont="1" applyAlignment="1">
      <alignment horizontal="right"/>
    </xf>
    <xf numFmtId="189" fontId="55" fillId="0" borderId="0" xfId="89" applyNumberFormat="1" applyFont="1" applyAlignment="1">
      <alignment horizontal="center"/>
    </xf>
    <xf numFmtId="41" fontId="68" fillId="0" borderId="0" xfId="89" applyFont="1"/>
    <xf numFmtId="41" fontId="55" fillId="0" borderId="0" xfId="89" applyFont="1" applyAlignment="1">
      <alignment horizontal="center"/>
    </xf>
    <xf numFmtId="41" fontId="55" fillId="0" borderId="0" xfId="89" applyAlignment="1">
      <alignment horizontal="right"/>
    </xf>
    <xf numFmtId="14" fontId="55" fillId="0" borderId="0" xfId="89" applyNumberFormat="1" applyFont="1"/>
    <xf numFmtId="1" fontId="68" fillId="0" borderId="0" xfId="89" applyNumberFormat="1" applyFont="1"/>
    <xf numFmtId="41" fontId="69" fillId="0" borderId="0" xfId="89" applyFont="1"/>
    <xf numFmtId="43" fontId="55" fillId="0" borderId="0" xfId="1" applyNumberFormat="1" applyFont="1"/>
    <xf numFmtId="41" fontId="8" fillId="0" borderId="0" xfId="4" applyFont="1"/>
    <xf numFmtId="41" fontId="7" fillId="0" borderId="0" xfId="4" applyFont="1" applyFill="1"/>
    <xf numFmtId="41" fontId="7" fillId="0" borderId="0" xfId="4" applyFont="1" applyFill="1" applyAlignment="1">
      <alignment horizontal="center"/>
    </xf>
    <xf numFmtId="37" fontId="8" fillId="0" borderId="0" xfId="4" applyNumberFormat="1" applyFont="1" applyFill="1" applyBorder="1"/>
    <xf numFmtId="37" fontId="8" fillId="0" borderId="0" xfId="4" applyNumberFormat="1" applyFont="1" applyFill="1" applyBorder="1" applyAlignment="1">
      <alignment horizontal="right"/>
    </xf>
    <xf numFmtId="37" fontId="7" fillId="0" borderId="0" xfId="4" applyNumberFormat="1" applyFont="1" applyFill="1"/>
    <xf numFmtId="37" fontId="8" fillId="0" borderId="16" xfId="4" applyNumberFormat="1" applyFont="1" applyFill="1" applyBorder="1"/>
    <xf numFmtId="37" fontId="7" fillId="0" borderId="17" xfId="4" applyNumberFormat="1" applyFont="1" applyFill="1" applyBorder="1"/>
    <xf numFmtId="0" fontId="1" fillId="0" borderId="0" xfId="0" applyFont="1" applyFill="1"/>
    <xf numFmtId="41" fontId="8" fillId="0" borderId="0" xfId="4" applyFont="1" applyFill="1"/>
    <xf numFmtId="41" fontId="8" fillId="0" borderId="0" xfId="4" applyFont="1" applyFill="1" applyAlignment="1">
      <alignment horizontal="center"/>
    </xf>
    <xf numFmtId="41" fontId="9" fillId="0" borderId="8" xfId="4" applyFont="1" applyFill="1" applyBorder="1" applyAlignment="1">
      <alignment horizontal="center"/>
    </xf>
    <xf numFmtId="41" fontId="9" fillId="0" borderId="0" xfId="4" applyFont="1" applyFill="1" applyBorder="1" applyAlignment="1">
      <alignment horizontal="center"/>
    </xf>
    <xf numFmtId="41" fontId="7" fillId="0" borderId="0" xfId="4" applyFont="1" applyFill="1" applyBorder="1" applyAlignment="1">
      <alignment horizontal="center"/>
    </xf>
    <xf numFmtId="41" fontId="8" fillId="0" borderId="0" xfId="4" applyFont="1" applyFill="1" applyAlignment="1">
      <alignment horizontal="right"/>
    </xf>
    <xf numFmtId="41" fontId="7" fillId="0" borderId="0" xfId="4" applyFont="1" applyFill="1" applyAlignment="1">
      <alignment horizontal="right"/>
    </xf>
    <xf numFmtId="41" fontId="7" fillId="0" borderId="18" xfId="4" applyFont="1" applyFill="1" applyBorder="1"/>
    <xf numFmtId="165" fontId="8" fillId="0" borderId="19" xfId="4" applyNumberFormat="1" applyFont="1" applyFill="1" applyBorder="1" applyAlignment="1">
      <alignment horizontal="center"/>
    </xf>
    <xf numFmtId="0" fontId="0" fillId="0" borderId="0" xfId="0" applyFont="1" applyFill="1"/>
    <xf numFmtId="41" fontId="7" fillId="0" borderId="0" xfId="4" applyFont="1" applyBorder="1"/>
    <xf numFmtId="0" fontId="1" fillId="0" borderId="0" xfId="0" applyFont="1" applyBorder="1"/>
    <xf numFmtId="37" fontId="1" fillId="0" borderId="0" xfId="0" applyNumberFormat="1" applyFont="1" applyBorder="1"/>
    <xf numFmtId="41" fontId="8" fillId="0" borderId="0" xfId="4" applyFont="1" applyFill="1" applyBorder="1" applyAlignment="1">
      <alignment horizontal="center"/>
    </xf>
    <xf numFmtId="41" fontId="7" fillId="0" borderId="0" xfId="4" quotePrefix="1" applyFont="1" applyFill="1" applyBorder="1" applyAlignment="1">
      <alignment horizontal="center"/>
    </xf>
    <xf numFmtId="41" fontId="7" fillId="0" borderId="0" xfId="4" quotePrefix="1" applyFont="1" applyBorder="1" applyAlignment="1">
      <alignment horizontal="center"/>
    </xf>
    <xf numFmtId="37" fontId="7" fillId="0" borderId="0" xfId="4" applyNumberFormat="1" applyFont="1" applyFill="1" applyBorder="1"/>
    <xf numFmtId="37" fontId="0" fillId="0" borderId="0" xfId="0" applyNumberFormat="1" applyFont="1" applyBorder="1" applyAlignment="1">
      <alignment horizontal="center"/>
    </xf>
    <xf numFmtId="37" fontId="10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167" fontId="0" fillId="0" borderId="0" xfId="1" applyNumberFormat="1" applyFont="1" applyBorder="1"/>
    <xf numFmtId="0" fontId="1" fillId="0" borderId="0" xfId="0" applyFont="1" applyFill="1" applyBorder="1"/>
    <xf numFmtId="37" fontId="1" fillId="0" borderId="0" xfId="0" applyNumberFormat="1" applyFont="1" applyFill="1" applyBorder="1"/>
    <xf numFmtId="41" fontId="7" fillId="0" borderId="0" xfId="4" applyFont="1" applyFill="1" applyBorder="1"/>
    <xf numFmtId="165" fontId="8" fillId="0" borderId="0" xfId="4" applyNumberFormat="1" applyFont="1" applyFill="1" applyBorder="1" applyAlignment="1">
      <alignment horizontal="center"/>
    </xf>
    <xf numFmtId="49" fontId="8" fillId="0" borderId="0" xfId="4" applyNumberFormat="1" applyFont="1" applyFill="1" applyBorder="1" applyAlignment="1">
      <alignment horizontal="center"/>
    </xf>
    <xf numFmtId="41" fontId="8" fillId="0" borderId="0" xfId="4" applyFont="1" applyFill="1" applyBorder="1" applyAlignment="1"/>
    <xf numFmtId="41" fontId="7" fillId="0" borderId="0" xfId="4" applyFont="1" applyFill="1" applyBorder="1" applyAlignment="1"/>
    <xf numFmtId="41" fontId="8" fillId="0" borderId="5" xfId="4" applyFont="1" applyBorder="1" applyAlignment="1">
      <alignment horizontal="center"/>
    </xf>
    <xf numFmtId="41" fontId="8" fillId="0" borderId="6" xfId="4" applyFont="1" applyBorder="1" applyAlignment="1">
      <alignment horizontal="center"/>
    </xf>
    <xf numFmtId="41" fontId="7" fillId="0" borderId="7" xfId="4" applyFont="1" applyFill="1" applyBorder="1" applyAlignment="1">
      <alignment horizontal="center"/>
    </xf>
    <xf numFmtId="41" fontId="7" fillId="0" borderId="8" xfId="4" applyFont="1" applyFill="1" applyBorder="1" applyAlignment="1">
      <alignment horizontal="center"/>
    </xf>
    <xf numFmtId="41" fontId="8" fillId="0" borderId="9" xfId="4" applyFont="1" applyBorder="1" applyAlignment="1">
      <alignment horizontal="center"/>
    </xf>
    <xf numFmtId="41" fontId="8" fillId="0" borderId="10" xfId="4" applyFont="1" applyBorder="1" applyAlignment="1">
      <alignment horizontal="center"/>
    </xf>
    <xf numFmtId="41" fontId="8" fillId="0" borderId="3" xfId="4" applyFont="1" applyFill="1" applyBorder="1" applyAlignment="1">
      <alignment horizontal="center"/>
    </xf>
    <xf numFmtId="41" fontId="8" fillId="0" borderId="4" xfId="4" applyFont="1" applyFill="1" applyBorder="1" applyAlignment="1">
      <alignment horizontal="center"/>
    </xf>
    <xf numFmtId="194" fontId="68" fillId="0" borderId="0" xfId="89" applyNumberFormat="1" applyFont="1" applyAlignment="1">
      <alignment horizontal="left"/>
    </xf>
  </cellXfs>
  <cellStyles count="92">
    <cellStyle name="_x0013_" xfId="10"/>
    <cellStyle name="_x0013_ 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" xfId="1" builtinId="3"/>
    <cellStyle name="Comma 2" xfId="7"/>
    <cellStyle name="Comma 2 2" xfId="39"/>
    <cellStyle name="Comma 2 3" xfId="40"/>
    <cellStyle name="Comma 3" xfId="41"/>
    <cellStyle name="Comma 4" xfId="42"/>
    <cellStyle name="Comma 5" xfId="43"/>
    <cellStyle name="Comma 6" xfId="90"/>
    <cellStyle name="Comma0" xfId="44"/>
    <cellStyle name="Currency 2" xfId="45"/>
    <cellStyle name="Currency 2 2" xfId="46"/>
    <cellStyle name="Currency 3" xfId="47"/>
    <cellStyle name="Currency No Comma" xfId="48"/>
    <cellStyle name="Currency0" xfId="49"/>
    <cellStyle name="Date" xfId="50"/>
    <cellStyle name="Explanatory Text 2" xfId="51"/>
    <cellStyle name="Fixed" xfId="52"/>
    <cellStyle name="General" xfId="53"/>
    <cellStyle name="Good 2" xfId="54"/>
    <cellStyle name="Heading 1 2" xfId="55"/>
    <cellStyle name="Heading 2 2" xfId="56"/>
    <cellStyle name="Heading 3 2" xfId="57"/>
    <cellStyle name="Heading 4 2" xfId="58"/>
    <cellStyle name="Hyperlink 2" xfId="59"/>
    <cellStyle name="Hyperlink 3" xfId="60"/>
    <cellStyle name="Input 2" xfId="61"/>
    <cellStyle name="Linked Cell 2" xfId="62"/>
    <cellStyle name="MCP" xfId="63"/>
    <cellStyle name="Neutral 2" xfId="64"/>
    <cellStyle name="nONE" xfId="65"/>
    <cellStyle name="noninput" xfId="66"/>
    <cellStyle name="Normal" xfId="0" builtinId="0"/>
    <cellStyle name="Normal 2" xfId="6"/>
    <cellStyle name="Normal 2 2" xfId="67"/>
    <cellStyle name="Normal 2 3" xfId="68"/>
    <cellStyle name="Normal 2 4" xfId="69"/>
    <cellStyle name="Normal 2 5" xfId="70"/>
    <cellStyle name="Normal 3" xfId="3"/>
    <cellStyle name="Normal 3 2" xfId="71"/>
    <cellStyle name="Normal 3 3" xfId="4"/>
    <cellStyle name="Normal 4" xfId="72"/>
    <cellStyle name="Normal 4 2" xfId="73"/>
    <cellStyle name="Normal 5" xfId="74"/>
    <cellStyle name="Normal 6" xfId="75"/>
    <cellStyle name="Normal 7" xfId="76"/>
    <cellStyle name="Normal 8" xfId="77"/>
    <cellStyle name="Normal 9" xfId="89"/>
    <cellStyle name="Normal_Adjustment Template" xfId="5"/>
    <cellStyle name="Normal_BC2 - STF Daily Detail" xfId="9"/>
    <cellStyle name="Note 2" xfId="78"/>
    <cellStyle name="Output 2" xfId="79"/>
    <cellStyle name="Password" xfId="80"/>
    <cellStyle name="Percent" xfId="2" builtinId="5"/>
    <cellStyle name="Percent 2" xfId="8"/>
    <cellStyle name="Percent 3" xfId="91"/>
    <cellStyle name="Title 2" xfId="81"/>
    <cellStyle name="Total 2" xfId="82"/>
    <cellStyle name="TRANSMISSION RELIABILITY PORTION OF PROJECT" xfId="83"/>
    <cellStyle name="Unprot" xfId="84"/>
    <cellStyle name="Unprot$" xfId="85"/>
    <cellStyle name="Unprot$ 2" xfId="86"/>
    <cellStyle name="Unprotect" xfId="87"/>
    <cellStyle name="Warning Text 2" xfId="88"/>
  </cellStyles>
  <dxfs count="3">
    <dxf>
      <fill>
        <patternFill>
          <bgColor indexed="42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/WA%20GRC%20Dec%202013%20Base/__Orders/Final%20Order/(5)%20-%20NPC/NPC%20Backup/WAGRC%20March16%20Rebuttal%20Allocation%20Support%20CONF_2014%2011%2004%20(xORCA%20QF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/WA%20GRC%20Dec%202013%20Base/__Orders/Final%20Order/(5)%20-%20NPC/NPC%20Backup/WAGRC%20March%2016_NPC%20Rebuttal%20study%202014%2011%2004%20(xORCA%20QFs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A%20JAM%20December%202013%20GRC%20-%20Final%20Or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 s523485</v>
          </cell>
          <cell r="D9" t="str">
            <v>Post Merger</v>
          </cell>
        </row>
        <row r="10">
          <cell r="C10" t="str">
            <v>NVE s811499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 s100035</v>
          </cell>
          <cell r="D12" t="str">
            <v>Post Merger</v>
          </cell>
        </row>
        <row r="13">
          <cell r="C13" t="str">
            <v>Salt River Project s322940</v>
          </cell>
          <cell r="D13" t="str">
            <v>Post Merger</v>
          </cell>
        </row>
        <row r="14">
          <cell r="C14" t="str">
            <v>Sierra Pac 2 s25270</v>
          </cell>
          <cell r="D14" t="str">
            <v>Post Merger</v>
          </cell>
        </row>
        <row r="15">
          <cell r="C15" t="str">
            <v>SCE s513948</v>
          </cell>
          <cell r="D15" t="str">
            <v>Post Merger</v>
          </cell>
        </row>
        <row r="16">
          <cell r="C16" t="str">
            <v>SDG&amp;E s513949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 s24296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 p27875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 p379174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 xml:space="preserve">Combine Hills Wind p160595 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 p194277</v>
          </cell>
          <cell r="D33" t="str">
            <v>Post Merger</v>
          </cell>
        </row>
        <row r="34">
          <cell r="C34" t="str">
            <v>Douglas PUD Settlement p38185</v>
          </cell>
          <cell r="D34" t="str">
            <v>Mid Columbia</v>
          </cell>
        </row>
        <row r="35">
          <cell r="C35" t="str">
            <v>Gemstate p99489</v>
          </cell>
          <cell r="D35" t="str">
            <v>Gemstate</v>
          </cell>
        </row>
        <row r="36">
          <cell r="C36" t="str">
            <v>Georgia-Pacific Camas</v>
          </cell>
          <cell r="D36" t="str">
            <v>Post Merger</v>
          </cell>
        </row>
        <row r="37">
          <cell r="C37" t="str">
            <v>Grant County 10 aMW p66274</v>
          </cell>
          <cell r="D37" t="str">
            <v>Misc/Pacific</v>
          </cell>
        </row>
        <row r="38">
          <cell r="C38" t="str">
            <v>Hermiston Purchase p99563</v>
          </cell>
          <cell r="D38" t="str">
            <v>Post Merger</v>
          </cell>
        </row>
        <row r="39">
          <cell r="C39" t="str">
            <v>Hurricane Purchase p393045</v>
          </cell>
          <cell r="D39" t="str">
            <v>Post Merger</v>
          </cell>
        </row>
        <row r="40">
          <cell r="C40" t="str">
            <v>Idaho Power p278538</v>
          </cell>
          <cell r="D40" t="str">
            <v>Post Merger</v>
          </cell>
        </row>
        <row r="41">
          <cell r="C41" t="str">
            <v>IPP Purchase</v>
          </cell>
          <cell r="D41" t="str">
            <v>IPP Layoff</v>
          </cell>
        </row>
        <row r="42">
          <cell r="C42" t="str">
            <v>Kennecott Generation Incentive</v>
          </cell>
          <cell r="D42" t="str">
            <v>Post Merger</v>
          </cell>
        </row>
        <row r="43">
          <cell r="C43" t="str">
            <v>LADWP p491303-4</v>
          </cell>
          <cell r="D43" t="str">
            <v>Post Merger</v>
          </cell>
        </row>
        <row r="44">
          <cell r="C44" t="str">
            <v>MagCorp p229846</v>
          </cell>
          <cell r="D44" t="str">
            <v>Post Merger</v>
          </cell>
        </row>
        <row r="45">
          <cell r="C45" t="str">
            <v>MagCorp Reserves p510378</v>
          </cell>
          <cell r="D45" t="str">
            <v>Post Merger</v>
          </cell>
        </row>
        <row r="46">
          <cell r="C46" t="str">
            <v>Morgan Stanley p189046</v>
          </cell>
          <cell r="D46" t="str">
            <v>Post Merger</v>
          </cell>
        </row>
        <row r="47">
          <cell r="C47" t="str">
            <v>Morgan Stanley p244840</v>
          </cell>
          <cell r="D47" t="str">
            <v>Post Merger</v>
          </cell>
        </row>
        <row r="48">
          <cell r="C48" t="str">
            <v>Morgan Stanley p244841</v>
          </cell>
          <cell r="D48" t="str">
            <v>Post Merger</v>
          </cell>
        </row>
        <row r="49">
          <cell r="C49" t="str">
            <v>Morgan Stanley p272153-6-8</v>
          </cell>
          <cell r="D49" t="str">
            <v>Post Merger</v>
          </cell>
        </row>
        <row r="50">
          <cell r="C50" t="str">
            <v>Morgan Stanley p272154-7</v>
          </cell>
          <cell r="D50" t="str">
            <v>Post Merger</v>
          </cell>
        </row>
        <row r="51">
          <cell r="C51" t="str">
            <v>Nebo Heat Rate Option p360539</v>
          </cell>
          <cell r="D51" t="str">
            <v>Post Merger</v>
          </cell>
        </row>
        <row r="52">
          <cell r="C52" t="str">
            <v>Nucor p346856</v>
          </cell>
          <cell r="D52" t="str">
            <v>Post Merger</v>
          </cell>
        </row>
        <row r="53">
          <cell r="C53" t="str">
            <v>P4 Production p137215/p145258</v>
          </cell>
          <cell r="D53" t="str">
            <v>Post Merger</v>
          </cell>
        </row>
        <row r="54">
          <cell r="C54" t="str">
            <v>PGE Cove p83984</v>
          </cell>
          <cell r="D54" t="str">
            <v>Misc/Pacific</v>
          </cell>
        </row>
        <row r="55">
          <cell r="C55" t="str">
            <v>Rock River Wind p100371</v>
          </cell>
          <cell r="D55" t="str">
            <v>Post Merger</v>
          </cell>
        </row>
        <row r="56">
          <cell r="C56" t="str">
            <v>Roseburg Forest Products p312292</v>
          </cell>
          <cell r="D56" t="str">
            <v>Post Merger</v>
          </cell>
        </row>
        <row r="57">
          <cell r="C57" t="str">
            <v>Small Purchases east</v>
          </cell>
          <cell r="D57" t="str">
            <v>Pre Merger</v>
          </cell>
        </row>
        <row r="58">
          <cell r="C58" t="str">
            <v>Small Purchases west</v>
          </cell>
          <cell r="D58" t="str">
            <v>Pre Merger</v>
          </cell>
        </row>
        <row r="59">
          <cell r="C59" t="str">
            <v>Three Buttes Wind p460457</v>
          </cell>
          <cell r="D59" t="str">
            <v>Post Merger</v>
          </cell>
        </row>
        <row r="60">
          <cell r="C60" t="str">
            <v>Top of the World Wind p522807</v>
          </cell>
          <cell r="D60" t="str">
            <v>Post Merger</v>
          </cell>
        </row>
        <row r="61">
          <cell r="C61" t="str">
            <v>Tri-State Purchase p27057</v>
          </cell>
          <cell r="D61" t="str">
            <v>Post Merger</v>
          </cell>
        </row>
        <row r="62">
          <cell r="C62" t="str">
            <v>UBS p268848</v>
          </cell>
          <cell r="D62" t="str">
            <v>Post Merger</v>
          </cell>
        </row>
        <row r="63">
          <cell r="C63" t="str">
            <v>UBS p268850</v>
          </cell>
          <cell r="D63" t="str">
            <v>Post Merger</v>
          </cell>
        </row>
        <row r="64">
          <cell r="C64" t="str">
            <v>West Valley Toll</v>
          </cell>
          <cell r="D64" t="str">
            <v>Post Merger</v>
          </cell>
        </row>
        <row r="65">
          <cell r="C65" t="str">
            <v>Weyerhaeuser Reserve p356685</v>
          </cell>
          <cell r="D65" t="str">
            <v>Post Merger</v>
          </cell>
        </row>
        <row r="66">
          <cell r="C66" t="str">
            <v>Wolverine Creek Wind p244520</v>
          </cell>
          <cell r="D66" t="str">
            <v>Post Merger</v>
          </cell>
        </row>
        <row r="67">
          <cell r="C67" t="str">
            <v>Place Holder</v>
          </cell>
          <cell r="D67" t="str">
            <v>Post Merger</v>
          </cell>
        </row>
        <row r="68">
          <cell r="C68" t="str">
            <v>DSM (Irrigation)</v>
          </cell>
          <cell r="D68" t="str">
            <v>Post Merger</v>
          </cell>
        </row>
        <row r="69">
          <cell r="C69" t="str">
            <v>QFs</v>
          </cell>
        </row>
        <row r="70">
          <cell r="C70" t="str">
            <v>QF California</v>
          </cell>
          <cell r="D70" t="str">
            <v>QF by State PPL</v>
          </cell>
        </row>
        <row r="71">
          <cell r="C71" t="str">
            <v>QF Idaho</v>
          </cell>
          <cell r="D71" t="str">
            <v>QF by State UPL</v>
          </cell>
        </row>
        <row r="72">
          <cell r="C72" t="str">
            <v>QF Oregon</v>
          </cell>
          <cell r="D72" t="str">
            <v>QF by State PPL</v>
          </cell>
        </row>
        <row r="73">
          <cell r="C73" t="str">
            <v>QF Utah</v>
          </cell>
          <cell r="D73" t="str">
            <v>QF by State UPL</v>
          </cell>
        </row>
        <row r="74">
          <cell r="C74" t="str">
            <v>QF Washington</v>
          </cell>
          <cell r="D74" t="str">
            <v>QF by State PPL</v>
          </cell>
        </row>
        <row r="75">
          <cell r="C75" t="str">
            <v>QF Wyoming</v>
          </cell>
          <cell r="D75" t="str">
            <v>QF by State UPL</v>
          </cell>
        </row>
        <row r="76">
          <cell r="C76" t="str">
            <v>Biomass p234159 QF</v>
          </cell>
          <cell r="D76" t="str">
            <v>QF PPL Pre Merger</v>
          </cell>
        </row>
        <row r="77">
          <cell r="C77" t="str">
            <v>Biomass One QF</v>
          </cell>
          <cell r="D77" t="str">
            <v>QF PPL Post Merger</v>
          </cell>
        </row>
        <row r="78">
          <cell r="C78" t="str">
            <v>Blue Mountain Wind QF</v>
          </cell>
          <cell r="D78" t="str">
            <v>QF UPL Post Merger</v>
          </cell>
        </row>
        <row r="79">
          <cell r="C79" t="str">
            <v>Butter Creek Wind QF</v>
          </cell>
          <cell r="D79" t="str">
            <v>QF PPL Post Merger</v>
          </cell>
        </row>
        <row r="80">
          <cell r="C80" t="str">
            <v>Chevron Wind p499335 QF</v>
          </cell>
          <cell r="D80" t="str">
            <v>QF UPL Post Merger</v>
          </cell>
        </row>
        <row r="81">
          <cell r="C81" t="str">
            <v>Co-Gen II p349170 QF</v>
          </cell>
          <cell r="D81" t="str">
            <v>QF PPL Post Merger</v>
          </cell>
        </row>
        <row r="82">
          <cell r="C82" t="str">
            <v>DCFP p316701 QF</v>
          </cell>
          <cell r="D82" t="str">
            <v>QF PPL Post Merger</v>
          </cell>
        </row>
        <row r="83">
          <cell r="C83" t="str">
            <v>D.R. Johnson</v>
          </cell>
          <cell r="D83" t="str">
            <v>QF PPL Post Merger</v>
          </cell>
        </row>
        <row r="84">
          <cell r="C84" t="str">
            <v>ExxonMobil p255042 QF</v>
          </cell>
          <cell r="D84" t="str">
            <v>QF UPL Post Merger</v>
          </cell>
        </row>
        <row r="85">
          <cell r="C85" t="str">
            <v>Five Pine Wind QF</v>
          </cell>
          <cell r="D85" t="str">
            <v>QF UPL Post Merger</v>
          </cell>
        </row>
        <row r="86">
          <cell r="C86" t="str">
            <v>Latigo Wind Park QF</v>
          </cell>
          <cell r="D86" t="str">
            <v>QF UPL Post Merger</v>
          </cell>
        </row>
        <row r="87">
          <cell r="C87" t="str">
            <v>Kennecott Refinery QF</v>
          </cell>
          <cell r="D87" t="str">
            <v>QF UPL Post Merger</v>
          </cell>
        </row>
        <row r="88">
          <cell r="C88" t="str">
            <v>Kennecott Smelter QF</v>
          </cell>
          <cell r="D88" t="str">
            <v>QF UPL Post Merger</v>
          </cell>
        </row>
        <row r="89">
          <cell r="C89" t="str">
            <v>Kennecott QF</v>
          </cell>
          <cell r="D89" t="str">
            <v>QF UPL Post Merger</v>
          </cell>
        </row>
        <row r="90">
          <cell r="C90" t="str">
            <v>North Point Wind QF</v>
          </cell>
          <cell r="D90" t="str">
            <v>QF UPL Post Merger</v>
          </cell>
        </row>
        <row r="91">
          <cell r="C91" t="str">
            <v>OM Power I Geothermal QF</v>
          </cell>
          <cell r="D91" t="str">
            <v>QF PPL Post Merger</v>
          </cell>
        </row>
        <row r="92">
          <cell r="C92" t="str">
            <v>Oregon Wind Farm QF</v>
          </cell>
          <cell r="D92" t="str">
            <v>QF PPL Post Merger</v>
          </cell>
        </row>
        <row r="93">
          <cell r="C93" t="str">
            <v>Pioneer Wind Park I QF</v>
          </cell>
          <cell r="D93" t="str">
            <v>QF UPL Post Merger</v>
          </cell>
        </row>
        <row r="94">
          <cell r="C94" t="str">
            <v>Pioneer Wind Park II QF</v>
          </cell>
          <cell r="D94" t="str">
            <v>QF UPL Post Merger</v>
          </cell>
        </row>
        <row r="95">
          <cell r="C95" t="str">
            <v>Power County North Wind QF p575612</v>
          </cell>
          <cell r="D95" t="str">
            <v>QF UPL Post Merger</v>
          </cell>
        </row>
        <row r="96">
          <cell r="C96" t="str">
            <v>Power County South Wind QF p575614</v>
          </cell>
          <cell r="D96" t="str">
            <v>QF UPL Post Merger</v>
          </cell>
        </row>
        <row r="97">
          <cell r="C97" t="str">
            <v>Roseburg Dillard QF</v>
          </cell>
          <cell r="D97" t="str">
            <v>QF PPL Post Merger</v>
          </cell>
        </row>
        <row r="98">
          <cell r="C98" t="str">
            <v>Schwendiman QF</v>
          </cell>
          <cell r="D98" t="str">
            <v>QF UPL Post Merger</v>
          </cell>
        </row>
        <row r="99">
          <cell r="C99" t="str">
            <v>SF Phosphates</v>
          </cell>
          <cell r="D99" t="str">
            <v>QF UPL Post Merger</v>
          </cell>
        </row>
        <row r="100">
          <cell r="C100" t="str">
            <v>Spanish Fork Wind 2 p311681 QF</v>
          </cell>
          <cell r="D100" t="str">
            <v>QF UPL Post Merger</v>
          </cell>
        </row>
        <row r="101">
          <cell r="C101" t="str">
            <v>Sunnyside p83997/p59965 QF</v>
          </cell>
          <cell r="D101" t="str">
            <v>QF UPL Pre Merger</v>
          </cell>
        </row>
        <row r="102">
          <cell r="C102" t="str">
            <v>Tesoro QF</v>
          </cell>
          <cell r="D102" t="str">
            <v>QF UPL Post Merger</v>
          </cell>
        </row>
        <row r="103">
          <cell r="C103" t="str">
            <v>Threemile Canyon Wind QF p500139</v>
          </cell>
          <cell r="D103" t="str">
            <v>QF PPL Post Merger</v>
          </cell>
        </row>
        <row r="104">
          <cell r="C104" t="str">
            <v>Evergreen BioPower p351030 QF</v>
          </cell>
          <cell r="D104" t="str">
            <v>QF PPL Post Merger</v>
          </cell>
        </row>
        <row r="105">
          <cell r="C105" t="str">
            <v>Mountain Wind 1 p367721 QF</v>
          </cell>
          <cell r="D105" t="str">
            <v>QF UPL Post Merger</v>
          </cell>
        </row>
        <row r="106">
          <cell r="C106" t="str">
            <v>Mountain Wind 2 p398449 QF</v>
          </cell>
          <cell r="D106" t="str">
            <v>QF UPL Post Merger</v>
          </cell>
        </row>
        <row r="108">
          <cell r="C108" t="str">
            <v>US Magnesium QF</v>
          </cell>
          <cell r="D108" t="str">
            <v>QF UPL Post Merger</v>
          </cell>
        </row>
        <row r="109">
          <cell r="C109" t="str">
            <v>MidC Hydro</v>
          </cell>
        </row>
        <row r="110">
          <cell r="C110" t="str">
            <v>Canadian Entitlement p60828</v>
          </cell>
          <cell r="D110" t="str">
            <v>Post Merger</v>
          </cell>
        </row>
        <row r="111">
          <cell r="C111" t="str">
            <v>Chelan - Rocky Reach p60827</v>
          </cell>
          <cell r="D111" t="str">
            <v>Mid Columbia</v>
          </cell>
        </row>
        <row r="112">
          <cell r="C112" t="str">
            <v>Douglas - Wells p60828</v>
          </cell>
          <cell r="D112" t="str">
            <v>Mid Columbia</v>
          </cell>
        </row>
        <row r="113">
          <cell r="C113" t="str">
            <v>Grant Displacement p270294</v>
          </cell>
          <cell r="D113" t="str">
            <v>Mid Columbia</v>
          </cell>
        </row>
        <row r="114">
          <cell r="C114" t="str">
            <v>Grant Reasonable</v>
          </cell>
          <cell r="D114" t="str">
            <v>Mid Columbia</v>
          </cell>
        </row>
        <row r="115">
          <cell r="C115" t="str">
            <v>Grant Meaningful Priority p390668</v>
          </cell>
          <cell r="D115" t="str">
            <v>Mid Columbia</v>
          </cell>
        </row>
        <row r="116">
          <cell r="C116" t="str">
            <v>Grant Surplus p258951</v>
          </cell>
          <cell r="D116" t="str">
            <v>Mid Columbia</v>
          </cell>
        </row>
        <row r="117">
          <cell r="C117" t="str">
            <v>Grant Power Auction</v>
          </cell>
          <cell r="D117" t="str">
            <v>Mid Columbia</v>
          </cell>
        </row>
        <row r="119">
          <cell r="C119" t="str">
            <v>Grant - Wanapum p60825</v>
          </cell>
          <cell r="D119" t="str">
            <v>Mid Columbia</v>
          </cell>
        </row>
        <row r="120">
          <cell r="C120" t="str">
            <v>Storage/Return</v>
          </cell>
        </row>
        <row r="121">
          <cell r="C121" t="str">
            <v>APGI/Colockum s191690</v>
          </cell>
          <cell r="D121" t="str">
            <v>Post Merger</v>
          </cell>
        </row>
        <row r="122">
          <cell r="C122" t="str">
            <v>APS Exchange p58118/s58119</v>
          </cell>
          <cell r="D122" t="str">
            <v>Post Merger</v>
          </cell>
        </row>
        <row r="123">
          <cell r="C123" t="str">
            <v>Black Hills CTs p64676</v>
          </cell>
          <cell r="D123" t="str">
            <v>Pacific Capacity</v>
          </cell>
        </row>
        <row r="124">
          <cell r="C124" t="str">
            <v>BPA Exchange p64706/p64888</v>
          </cell>
          <cell r="D124" t="str">
            <v>Pacific Pre Merger</v>
          </cell>
        </row>
        <row r="125">
          <cell r="C125" t="str">
            <v xml:space="preserve">BPA FC II Wind p63507 </v>
          </cell>
          <cell r="D125" t="str">
            <v>Post Merger</v>
          </cell>
        </row>
        <row r="126">
          <cell r="C126" t="str">
            <v xml:space="preserve">BPA FC IV Wind p79207 </v>
          </cell>
          <cell r="D126" t="str">
            <v>Post Merger</v>
          </cell>
        </row>
        <row r="127">
          <cell r="C127" t="str">
            <v>BPA Peaking p59820</v>
          </cell>
          <cell r="D127" t="str">
            <v>BPA Peak Purchase</v>
          </cell>
        </row>
        <row r="128">
          <cell r="C128" t="str">
            <v>BPA So. Idaho p64885/p83975/p64705</v>
          </cell>
          <cell r="D128" t="str">
            <v>Post Merger</v>
          </cell>
        </row>
        <row r="129">
          <cell r="C129" t="str">
            <v>Cargill p483225/s6 p485390/s89</v>
          </cell>
          <cell r="D129" t="str">
            <v>Post Merger</v>
          </cell>
        </row>
        <row r="130">
          <cell r="C130" t="str">
            <v>Cowlitz Swift p65787</v>
          </cell>
          <cell r="D130" t="str">
            <v>Pacific Pre Merger</v>
          </cell>
        </row>
        <row r="131">
          <cell r="C131" t="str">
            <v>EWEB FC I p63508/p63510</v>
          </cell>
          <cell r="D131" t="str">
            <v>Post Merger</v>
          </cell>
        </row>
        <row r="132">
          <cell r="C132" t="str">
            <v>PSCo Exchange p340325</v>
          </cell>
          <cell r="D132" t="str">
            <v>Post Merger</v>
          </cell>
        </row>
        <row r="133">
          <cell r="C133" t="str">
            <v>PSCO FC III p63362/s63361</v>
          </cell>
          <cell r="D133" t="str">
            <v>Post Merger</v>
          </cell>
        </row>
        <row r="134">
          <cell r="C134" t="str">
            <v>Redding Exchange p66276</v>
          </cell>
          <cell r="D134" t="str">
            <v>Post Merger</v>
          </cell>
        </row>
        <row r="135">
          <cell r="C135" t="str">
            <v>SCL State Line p105228</v>
          </cell>
          <cell r="D135" t="str">
            <v>Post Merger</v>
          </cell>
        </row>
        <row r="136">
          <cell r="C136" t="str">
            <v>Shell p489963/s489962</v>
          </cell>
          <cell r="D136" t="str">
            <v>Post Merger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</row>
        <row r="47">
          <cell r="A47">
            <v>42675</v>
          </cell>
          <cell r="B47">
            <v>0.85592373433120617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2">
          <cell r="M182">
            <v>127364594.61366887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CE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4" zoomScale="80" zoomScaleNormal="80" workbookViewId="0">
      <selection activeCell="I30" sqref="I30"/>
    </sheetView>
  </sheetViews>
  <sheetFormatPr defaultRowHeight="12.75"/>
  <cols>
    <col min="1" max="1" width="35.28515625" style="1" customWidth="1"/>
    <col min="2" max="2" width="9.85546875" style="2" customWidth="1"/>
    <col min="3" max="3" width="9.85546875" style="1" customWidth="1"/>
    <col min="4" max="4" width="12" style="1" customWidth="1"/>
    <col min="5" max="5" width="3.85546875" style="2" customWidth="1"/>
    <col min="6" max="6" width="17.85546875" style="1" customWidth="1"/>
    <col min="7" max="7" width="17.28515625" style="1" customWidth="1"/>
    <col min="8" max="8" width="23.28515625" style="3" customWidth="1"/>
    <col min="9" max="9" width="17.85546875" style="284" customWidth="1"/>
    <col min="10" max="10" width="16.5703125" style="284" bestFit="1" customWidth="1"/>
    <col min="11" max="11" width="9.140625" style="285"/>
    <col min="12" max="12" width="17.85546875" style="284" customWidth="1"/>
    <col min="13" max="13" width="16.5703125" style="284" bestFit="1" customWidth="1"/>
    <col min="14" max="14" width="9.140625" style="285"/>
    <col min="15" max="15" width="13.7109375" style="286" customWidth="1"/>
    <col min="16" max="16" width="9.140625" style="285"/>
    <col min="17" max="16384" width="9.140625" style="3"/>
  </cols>
  <sheetData>
    <row r="1" spans="1:13">
      <c r="A1" s="38" t="s">
        <v>0</v>
      </c>
      <c r="B1" s="38"/>
      <c r="C1" s="38"/>
    </row>
    <row r="2" spans="1:13">
      <c r="A2" s="38" t="s">
        <v>1</v>
      </c>
      <c r="B2" s="38"/>
      <c r="C2" s="38"/>
    </row>
    <row r="3" spans="1:13">
      <c r="A3" s="38" t="s">
        <v>708</v>
      </c>
      <c r="B3" s="38"/>
      <c r="C3" s="38"/>
    </row>
    <row r="4" spans="1:13">
      <c r="A4" s="265" t="s">
        <v>709</v>
      </c>
      <c r="B4" s="38"/>
      <c r="C4" s="38"/>
      <c r="D4" s="4"/>
      <c r="E4" s="5"/>
      <c r="F4" s="5"/>
      <c r="G4" s="5"/>
      <c r="I4" s="9"/>
      <c r="J4" s="9"/>
      <c r="L4" s="9"/>
      <c r="M4" s="9"/>
    </row>
    <row r="5" spans="1:13" ht="13.5" thickBot="1">
      <c r="A5" s="5"/>
      <c r="B5" s="6"/>
      <c r="C5" s="7"/>
      <c r="D5" s="6"/>
      <c r="E5" s="5"/>
      <c r="F5" s="5"/>
      <c r="G5" s="5"/>
      <c r="I5" s="9"/>
      <c r="J5" s="9"/>
      <c r="L5" s="9"/>
      <c r="M5" s="9"/>
    </row>
    <row r="6" spans="1:13" ht="13.5" thickBot="1">
      <c r="A6" s="8"/>
      <c r="B6" s="6"/>
      <c r="C6" s="2"/>
      <c r="D6" s="2"/>
      <c r="E6" s="5"/>
      <c r="F6" s="36" t="s">
        <v>713</v>
      </c>
      <c r="G6" s="37"/>
      <c r="I6" s="299"/>
      <c r="J6" s="299"/>
      <c r="L6" s="299"/>
      <c r="M6" s="299"/>
    </row>
    <row r="7" spans="1:13">
      <c r="A7" s="8"/>
      <c r="B7" s="6"/>
      <c r="C7" s="9"/>
      <c r="D7" s="9"/>
      <c r="E7" s="5"/>
      <c r="F7" s="308" t="s">
        <v>710</v>
      </c>
      <c r="G7" s="309"/>
      <c r="I7" s="300"/>
      <c r="J7" s="300"/>
      <c r="L7" s="300"/>
      <c r="M7" s="300"/>
    </row>
    <row r="8" spans="1:13">
      <c r="A8" s="8"/>
      <c r="B8" s="6"/>
      <c r="C8" s="302" t="s">
        <v>2</v>
      </c>
      <c r="D8" s="303"/>
      <c r="E8" s="5"/>
      <c r="F8" s="304" t="s">
        <v>3</v>
      </c>
      <c r="G8" s="305"/>
      <c r="I8" s="301"/>
      <c r="J8" s="301"/>
      <c r="L8" s="301"/>
      <c r="M8" s="301"/>
    </row>
    <row r="9" spans="1:13">
      <c r="A9" s="8"/>
      <c r="B9" s="10"/>
      <c r="C9" s="306" t="s">
        <v>4</v>
      </c>
      <c r="D9" s="307"/>
      <c r="E9" s="5"/>
      <c r="F9" s="11"/>
      <c r="G9" s="12"/>
      <c r="I9" s="287"/>
      <c r="J9" s="9"/>
      <c r="L9" s="287"/>
      <c r="M9" s="9"/>
    </row>
    <row r="10" spans="1:13">
      <c r="A10" s="5"/>
      <c r="B10" s="5"/>
      <c r="C10" s="5" t="s">
        <v>5</v>
      </c>
      <c r="D10" s="5" t="s">
        <v>6</v>
      </c>
      <c r="E10" s="5"/>
      <c r="F10" s="11"/>
      <c r="G10" s="12"/>
      <c r="I10" s="287"/>
      <c r="J10" s="9"/>
      <c r="L10" s="287"/>
      <c r="M10" s="9"/>
    </row>
    <row r="11" spans="1:13">
      <c r="A11" s="5"/>
      <c r="B11" s="5" t="s">
        <v>7</v>
      </c>
      <c r="C11" s="5" t="s">
        <v>8</v>
      </c>
      <c r="D11" s="5" t="s">
        <v>8</v>
      </c>
      <c r="E11" s="5"/>
      <c r="F11" s="11" t="s">
        <v>9</v>
      </c>
      <c r="G11" s="12" t="s">
        <v>10</v>
      </c>
      <c r="I11" s="287"/>
      <c r="J11" s="9"/>
      <c r="L11" s="287"/>
      <c r="M11" s="9"/>
    </row>
    <row r="12" spans="1:13">
      <c r="A12" s="13" t="s">
        <v>11</v>
      </c>
      <c r="B12" s="13" t="s">
        <v>12</v>
      </c>
      <c r="C12" s="13" t="s">
        <v>13</v>
      </c>
      <c r="D12" s="13" t="s">
        <v>14</v>
      </c>
      <c r="E12" s="13"/>
      <c r="F12" s="14" t="s">
        <v>15</v>
      </c>
      <c r="G12" s="15" t="s">
        <v>16</v>
      </c>
      <c r="I12" s="287"/>
      <c r="J12" s="9"/>
      <c r="L12" s="287"/>
      <c r="M12" s="9"/>
    </row>
    <row r="13" spans="1:13">
      <c r="C13" s="2"/>
      <c r="D13" s="2"/>
      <c r="E13" s="1"/>
      <c r="F13" s="16"/>
      <c r="G13" s="17"/>
      <c r="I13" s="278"/>
      <c r="J13" s="32"/>
      <c r="L13" s="278"/>
      <c r="M13" s="32"/>
    </row>
    <row r="14" spans="1:13">
      <c r="A14" s="1" t="s">
        <v>17</v>
      </c>
      <c r="C14" s="2"/>
      <c r="D14" s="18"/>
      <c r="E14" s="1"/>
      <c r="F14" s="16"/>
      <c r="G14" s="17"/>
      <c r="I14" s="278"/>
      <c r="J14" s="32"/>
      <c r="L14" s="278"/>
      <c r="M14" s="32"/>
    </row>
    <row r="15" spans="1:13">
      <c r="A15" s="19" t="s">
        <v>18</v>
      </c>
      <c r="B15" s="20" t="s">
        <v>19</v>
      </c>
      <c r="C15" s="2" t="s">
        <v>20</v>
      </c>
      <c r="D15" s="21">
        <v>0.23084885646883446</v>
      </c>
      <c r="E15" s="22"/>
      <c r="F15" s="23">
        <v>0</v>
      </c>
      <c r="G15" s="24">
        <v>0</v>
      </c>
      <c r="I15" s="288"/>
      <c r="J15" s="289"/>
      <c r="L15" s="288"/>
      <c r="M15" s="289"/>
    </row>
    <row r="16" spans="1:13">
      <c r="A16" s="19" t="s">
        <v>21</v>
      </c>
      <c r="B16" s="20" t="s">
        <v>19</v>
      </c>
      <c r="C16" s="2" t="s">
        <v>20</v>
      </c>
      <c r="D16" s="21">
        <v>0.23084885646883446</v>
      </c>
      <c r="E16" s="22"/>
      <c r="F16" s="23">
        <f>PrePost!D10</f>
        <v>94170486.420000002</v>
      </c>
      <c r="G16" s="25">
        <f>F16*D16</f>
        <v>21739149.103170905</v>
      </c>
      <c r="I16" s="288"/>
      <c r="J16" s="289"/>
      <c r="L16" s="288"/>
      <c r="M16" s="289"/>
    </row>
    <row r="17" spans="1:13">
      <c r="A17" s="19" t="s">
        <v>22</v>
      </c>
      <c r="B17" s="20" t="s">
        <v>19</v>
      </c>
      <c r="C17" s="2" t="s">
        <v>23</v>
      </c>
      <c r="D17" s="21">
        <v>0.22741372946461591</v>
      </c>
      <c r="E17" s="22"/>
      <c r="F17" s="23">
        <v>0</v>
      </c>
      <c r="G17" s="25">
        <v>0</v>
      </c>
      <c r="I17" s="288"/>
      <c r="J17" s="289"/>
      <c r="L17" s="288"/>
      <c r="M17" s="289"/>
    </row>
    <row r="18" spans="1:13">
      <c r="A18" s="1" t="s">
        <v>24</v>
      </c>
      <c r="C18" s="2"/>
      <c r="D18" s="2"/>
      <c r="E18" s="26"/>
      <c r="F18" s="27">
        <f>SUM(F15:F17)</f>
        <v>94170486.420000002</v>
      </c>
      <c r="G18" s="28">
        <f>SUM(G15:G17)</f>
        <v>21739149.103170905</v>
      </c>
      <c r="I18" s="290"/>
      <c r="J18" s="26"/>
      <c r="L18" s="290"/>
      <c r="M18" s="26"/>
    </row>
    <row r="19" spans="1:13">
      <c r="C19" s="2"/>
      <c r="D19" s="2"/>
      <c r="E19" s="22"/>
      <c r="F19" s="16"/>
      <c r="G19" s="17"/>
      <c r="I19" s="278"/>
      <c r="J19" s="32"/>
      <c r="L19" s="278"/>
      <c r="M19" s="32"/>
    </row>
    <row r="20" spans="1:13">
      <c r="A20" s="1" t="s">
        <v>25</v>
      </c>
      <c r="C20" s="2"/>
      <c r="D20" s="2"/>
      <c r="E20" s="22"/>
      <c r="F20" s="16"/>
      <c r="G20" s="17"/>
      <c r="I20" s="278"/>
      <c r="J20" s="32"/>
      <c r="L20" s="278"/>
      <c r="M20" s="32"/>
    </row>
    <row r="21" spans="1:13">
      <c r="A21" s="19" t="s">
        <v>26</v>
      </c>
      <c r="B21" s="20" t="s">
        <v>27</v>
      </c>
      <c r="C21" s="2" t="s">
        <v>20</v>
      </c>
      <c r="D21" s="21">
        <v>0.23084885646883446</v>
      </c>
      <c r="E21" s="22"/>
      <c r="F21" s="23">
        <f>PrePost!F27</f>
        <v>761861.40132327215</v>
      </c>
      <c r="G21" s="25">
        <f t="shared" ref="G21:G25" si="0">F21*D21</f>
        <v>175874.83328322115</v>
      </c>
      <c r="I21" s="288"/>
      <c r="J21" s="289"/>
      <c r="L21" s="288"/>
      <c r="M21" s="289"/>
    </row>
    <row r="22" spans="1:13">
      <c r="A22" s="19" t="s">
        <v>28</v>
      </c>
      <c r="B22" s="20" t="s">
        <v>27</v>
      </c>
      <c r="C22" s="2" t="s">
        <v>23</v>
      </c>
      <c r="D22" s="21">
        <v>0.22741372946461591</v>
      </c>
      <c r="E22" s="22"/>
      <c r="F22" s="23">
        <f>PrePost!G27</f>
        <v>1850255.2986767283</v>
      </c>
      <c r="G22" s="25">
        <f t="shared" si="0"/>
        <v>420773.45793374156</v>
      </c>
      <c r="I22" s="288"/>
      <c r="J22" s="289"/>
      <c r="L22" s="288"/>
      <c r="M22" s="289"/>
    </row>
    <row r="23" spans="1:13">
      <c r="A23" s="19" t="s">
        <v>29</v>
      </c>
      <c r="B23" s="20" t="s">
        <v>27</v>
      </c>
      <c r="C23" s="2" t="s">
        <v>6</v>
      </c>
      <c r="D23" s="21">
        <v>1</v>
      </c>
      <c r="E23" s="22"/>
      <c r="F23" s="23">
        <f>PrePost!I24</f>
        <v>579500.26</v>
      </c>
      <c r="G23" s="25">
        <f t="shared" si="0"/>
        <v>579500.26</v>
      </c>
      <c r="I23" s="288"/>
      <c r="J23" s="289"/>
      <c r="L23" s="288"/>
      <c r="M23" s="289"/>
    </row>
    <row r="24" spans="1:13">
      <c r="A24" s="19" t="s">
        <v>30</v>
      </c>
      <c r="B24" s="20" t="s">
        <v>27</v>
      </c>
      <c r="C24" s="2" t="s">
        <v>20</v>
      </c>
      <c r="D24" s="21">
        <v>0.23084885646883446</v>
      </c>
      <c r="E24" s="22"/>
      <c r="F24" s="23">
        <f>PrePost!I72</f>
        <v>188044459.01999998</v>
      </c>
      <c r="G24" s="25">
        <f t="shared" si="0"/>
        <v>43409848.330067597</v>
      </c>
      <c r="I24" s="288"/>
      <c r="J24" s="289"/>
      <c r="L24" s="288"/>
      <c r="M24" s="289"/>
    </row>
    <row r="25" spans="1:13">
      <c r="A25" s="19" t="s">
        <v>31</v>
      </c>
      <c r="B25" s="20" t="s">
        <v>27</v>
      </c>
      <c r="C25" s="2" t="s">
        <v>20</v>
      </c>
      <c r="D25" s="21">
        <v>0.23084885646883446</v>
      </c>
      <c r="E25" s="22"/>
      <c r="F25" s="23">
        <f>PrePost!I73</f>
        <v>1029917.84</v>
      </c>
      <c r="G25" s="25">
        <f t="shared" si="0"/>
        <v>237755.355620852</v>
      </c>
      <c r="I25" s="288"/>
      <c r="J25" s="289"/>
      <c r="L25" s="288"/>
      <c r="M25" s="289"/>
    </row>
    <row r="26" spans="1:13">
      <c r="A26" s="19" t="s">
        <v>32</v>
      </c>
      <c r="B26" s="20"/>
      <c r="C26" s="2"/>
      <c r="D26" s="2"/>
      <c r="E26" s="26"/>
      <c r="F26" s="27">
        <f>SUM(F21:F25)</f>
        <v>192265993.81999999</v>
      </c>
      <c r="G26" s="28">
        <f>SUM(G21:G25)</f>
        <v>44823752.236905411</v>
      </c>
      <c r="I26" s="290"/>
      <c r="J26" s="26"/>
      <c r="L26" s="290"/>
      <c r="M26" s="26"/>
    </row>
    <row r="27" spans="1:13">
      <c r="A27" s="29"/>
      <c r="C27" s="2"/>
      <c r="D27" s="2"/>
      <c r="E27" s="26"/>
      <c r="F27" s="16"/>
      <c r="G27" s="17"/>
      <c r="I27" s="278"/>
      <c r="J27" s="32"/>
      <c r="L27" s="278"/>
      <c r="M27" s="32"/>
    </row>
    <row r="28" spans="1:13">
      <c r="A28" s="1" t="s">
        <v>33</v>
      </c>
      <c r="C28" s="2"/>
      <c r="D28" s="2"/>
      <c r="E28" s="26"/>
      <c r="F28" s="39"/>
      <c r="G28" s="17"/>
      <c r="I28" s="278"/>
      <c r="J28" s="32"/>
      <c r="L28" s="278"/>
      <c r="M28" s="32"/>
    </row>
    <row r="29" spans="1:13">
      <c r="A29" s="1" t="s">
        <v>34</v>
      </c>
      <c r="B29" s="2" t="s">
        <v>35</v>
      </c>
      <c r="C29" s="2" t="s">
        <v>20</v>
      </c>
      <c r="D29" s="21">
        <v>0.23084885646883446</v>
      </c>
      <c r="E29" s="22"/>
      <c r="F29" s="16">
        <f>PrePost!F90</f>
        <v>25004656.075878002</v>
      </c>
      <c r="G29" s="17">
        <f t="shared" ref="G29:G31" si="1">F29*D29</f>
        <v>5772296.2615129305</v>
      </c>
      <c r="I29" s="278"/>
      <c r="J29" s="32"/>
      <c r="L29" s="278"/>
      <c r="M29" s="32"/>
    </row>
    <row r="30" spans="1:13">
      <c r="A30" s="19" t="s">
        <v>36</v>
      </c>
      <c r="B30" s="20" t="s">
        <v>35</v>
      </c>
      <c r="C30" s="2" t="s">
        <v>20</v>
      </c>
      <c r="D30" s="21">
        <v>0.23084885646883446</v>
      </c>
      <c r="E30" s="22"/>
      <c r="F30" s="23">
        <f>PrePost!I90</f>
        <v>83917356.924122006</v>
      </c>
      <c r="G30" s="25">
        <f t="shared" si="1"/>
        <v>19372225.883820593</v>
      </c>
      <c r="I30" s="288"/>
      <c r="J30" s="289"/>
      <c r="L30" s="288"/>
      <c r="M30" s="289"/>
    </row>
    <row r="31" spans="1:13">
      <c r="A31" s="19" t="s">
        <v>37</v>
      </c>
      <c r="B31" s="20" t="s">
        <v>35</v>
      </c>
      <c r="C31" s="2" t="s">
        <v>23</v>
      </c>
      <c r="D31" s="21">
        <v>0.22741372946461591</v>
      </c>
      <c r="E31" s="22"/>
      <c r="F31" s="23">
        <v>0</v>
      </c>
      <c r="G31" s="25">
        <f t="shared" si="1"/>
        <v>0</v>
      </c>
      <c r="I31" s="288"/>
      <c r="J31" s="289"/>
      <c r="L31" s="288"/>
      <c r="M31" s="289"/>
    </row>
    <row r="32" spans="1:13">
      <c r="A32" s="19" t="s">
        <v>38</v>
      </c>
      <c r="C32" s="2"/>
      <c r="D32" s="2"/>
      <c r="E32" s="26"/>
      <c r="F32" s="27">
        <f>SUM(F29:F31)</f>
        <v>108922013</v>
      </c>
      <c r="G32" s="28">
        <f>SUM(G29:G31)</f>
        <v>25144522.145333525</v>
      </c>
      <c r="I32" s="288"/>
      <c r="J32" s="26"/>
      <c r="L32" s="290"/>
      <c r="M32" s="26"/>
    </row>
    <row r="33" spans="1:16">
      <c r="A33" s="19"/>
      <c r="C33" s="2"/>
      <c r="D33" s="2"/>
      <c r="E33" s="26"/>
      <c r="F33" s="30"/>
      <c r="G33" s="31"/>
      <c r="I33" s="288"/>
      <c r="J33" s="26"/>
      <c r="L33" s="290"/>
      <c r="M33" s="26"/>
    </row>
    <row r="34" spans="1:16">
      <c r="A34" s="1" t="s">
        <v>39</v>
      </c>
      <c r="C34" s="2"/>
      <c r="D34" s="2"/>
      <c r="E34" s="22"/>
      <c r="F34" s="16"/>
      <c r="G34" s="17"/>
      <c r="I34" s="278"/>
      <c r="J34" s="32"/>
      <c r="L34" s="278"/>
      <c r="M34" s="32"/>
    </row>
    <row r="35" spans="1:16">
      <c r="A35" s="1" t="s">
        <v>40</v>
      </c>
      <c r="B35" s="2" t="s">
        <v>41</v>
      </c>
      <c r="C35" s="2" t="s">
        <v>23</v>
      </c>
      <c r="D35" s="21">
        <v>0.22741372946461591</v>
      </c>
      <c r="E35" s="22"/>
      <c r="F35" s="23">
        <f>PrePost!D95+PrePost!D106</f>
        <v>251312535.97999999</v>
      </c>
      <c r="G35" s="25">
        <f>F35*D36</f>
        <v>57151921.068422273</v>
      </c>
      <c r="I35" s="278"/>
      <c r="J35" s="289"/>
      <c r="L35" s="288"/>
      <c r="M35" s="289"/>
      <c r="O35" s="291"/>
    </row>
    <row r="36" spans="1:16">
      <c r="A36" s="19" t="s">
        <v>42</v>
      </c>
      <c r="B36" s="20" t="s">
        <v>43</v>
      </c>
      <c r="C36" s="2" t="s">
        <v>23</v>
      </c>
      <c r="D36" s="21">
        <v>0.22741372946461591</v>
      </c>
      <c r="E36" s="22"/>
      <c r="F36" s="23">
        <f>PrePost!D97+PrePost!D103</f>
        <v>92371608.460000008</v>
      </c>
      <c r="G36" s="25">
        <f>F36*D36</f>
        <v>21006571.976533867</v>
      </c>
      <c r="I36" s="288"/>
      <c r="J36" s="289"/>
      <c r="L36" s="288"/>
      <c r="M36" s="289"/>
      <c r="O36" s="291"/>
    </row>
    <row r="37" spans="1:16">
      <c r="A37" s="19" t="s">
        <v>44</v>
      </c>
      <c r="B37" s="20"/>
      <c r="C37" s="2"/>
      <c r="D37" s="21"/>
      <c r="E37" s="22"/>
      <c r="F37" s="27">
        <f>SUM(F35:F36)</f>
        <v>343684144.44</v>
      </c>
      <c r="G37" s="28">
        <f>SUM(G34:G36)</f>
        <v>78158493.044956148</v>
      </c>
      <c r="I37" s="288"/>
      <c r="J37" s="26"/>
      <c r="L37" s="290"/>
      <c r="M37" s="26"/>
      <c r="O37" s="292"/>
    </row>
    <row r="38" spans="1:16">
      <c r="A38" s="3"/>
      <c r="C38" s="26"/>
      <c r="D38" s="26"/>
      <c r="E38" s="26"/>
      <c r="F38" s="30"/>
      <c r="G38" s="31"/>
      <c r="I38" s="290"/>
      <c r="J38" s="26"/>
      <c r="L38" s="290"/>
      <c r="M38" s="26"/>
      <c r="O38" s="293"/>
      <c r="P38" s="294"/>
    </row>
    <row r="39" spans="1:16" s="273" customFormat="1" ht="13.5" thickBot="1">
      <c r="A39" s="266"/>
      <c r="B39" s="267"/>
      <c r="C39" s="268"/>
      <c r="D39" s="269" t="s">
        <v>45</v>
      </c>
      <c r="E39" s="270"/>
      <c r="F39" s="271">
        <f>F37+F32+F26-F18</f>
        <v>550701664.84000003</v>
      </c>
      <c r="G39" s="272">
        <f>G37+G32+G26-G18</f>
        <v>126387618.32402417</v>
      </c>
      <c r="I39" s="290"/>
      <c r="J39" s="290"/>
      <c r="K39" s="295"/>
      <c r="L39" s="268"/>
      <c r="M39" s="290"/>
      <c r="N39" s="295"/>
      <c r="O39" s="295"/>
      <c r="P39" s="295"/>
    </row>
    <row r="40" spans="1:16" s="273" customFormat="1" ht="13.5" thickTop="1">
      <c r="A40" s="274"/>
      <c r="B40" s="275"/>
      <c r="E40" s="268"/>
      <c r="F40" s="33"/>
      <c r="G40" s="276"/>
      <c r="I40" s="277"/>
      <c r="J40" s="277"/>
      <c r="K40" s="295"/>
      <c r="L40" s="277"/>
      <c r="M40" s="277"/>
      <c r="N40" s="295"/>
      <c r="O40" s="296"/>
      <c r="P40" s="295"/>
    </row>
    <row r="41" spans="1:16" s="273" customFormat="1">
      <c r="A41" s="275"/>
      <c r="B41" s="267"/>
      <c r="C41" s="277"/>
      <c r="D41" s="279" t="s">
        <v>46</v>
      </c>
      <c r="E41" s="278"/>
      <c r="F41" s="33"/>
      <c r="G41" s="40">
        <v>976976.28964470816</v>
      </c>
      <c r="I41" s="277"/>
      <c r="J41" s="278"/>
      <c r="K41" s="295"/>
      <c r="L41" s="277"/>
      <c r="M41" s="278"/>
      <c r="N41" s="295"/>
      <c r="O41" s="296"/>
      <c r="P41" s="295"/>
    </row>
    <row r="42" spans="1:16" s="273" customFormat="1">
      <c r="A42" s="275"/>
      <c r="B42" s="267"/>
      <c r="C42" s="266"/>
      <c r="D42" s="280"/>
      <c r="E42" s="278"/>
      <c r="F42" s="34"/>
      <c r="G42" s="40"/>
      <c r="I42" s="297"/>
      <c r="J42" s="278"/>
      <c r="K42" s="295"/>
      <c r="L42" s="297"/>
      <c r="M42" s="278"/>
      <c r="N42" s="295"/>
      <c r="O42" s="296"/>
      <c r="P42" s="295"/>
    </row>
    <row r="43" spans="1:16" s="273" customFormat="1" ht="13.5" thickBot="1">
      <c r="A43" s="275"/>
      <c r="B43" s="267"/>
      <c r="C43" s="266"/>
      <c r="D43" s="279" t="s">
        <v>47</v>
      </c>
      <c r="E43" s="267"/>
      <c r="F43" s="281"/>
      <c r="G43" s="282">
        <f>G39+G41</f>
        <v>127364594.61366887</v>
      </c>
      <c r="I43" s="297"/>
      <c r="J43" s="298"/>
      <c r="K43" s="295"/>
      <c r="L43" s="297"/>
      <c r="M43" s="298"/>
      <c r="N43" s="295"/>
      <c r="O43" s="296"/>
      <c r="P43" s="295"/>
    </row>
    <row r="44" spans="1:16" s="273" customFormat="1">
      <c r="A44" s="266"/>
      <c r="B44" s="267"/>
      <c r="C44" s="266"/>
      <c r="E44" s="267"/>
      <c r="F44" s="266"/>
      <c r="G44" s="35"/>
      <c r="I44" s="297"/>
      <c r="J44" s="35"/>
      <c r="K44" s="295"/>
      <c r="L44" s="297"/>
      <c r="M44" s="35"/>
      <c r="N44" s="295"/>
      <c r="O44" s="296"/>
      <c r="P44" s="295"/>
    </row>
    <row r="45" spans="1:16" s="273" customFormat="1">
      <c r="A45" s="275"/>
      <c r="B45" s="267"/>
      <c r="C45" s="266"/>
      <c r="D45" s="266"/>
      <c r="E45" s="267"/>
      <c r="F45" s="266"/>
      <c r="G45" s="35"/>
      <c r="I45" s="297"/>
      <c r="J45" s="35"/>
      <c r="K45" s="295"/>
      <c r="L45" s="297"/>
      <c r="M45" s="35"/>
      <c r="N45" s="295"/>
      <c r="O45" s="296"/>
      <c r="P45" s="295"/>
    </row>
    <row r="46" spans="1:16" s="273" customFormat="1">
      <c r="A46" s="266"/>
      <c r="B46" s="267"/>
      <c r="C46" s="266"/>
      <c r="D46" s="279" t="s">
        <v>711</v>
      </c>
      <c r="E46" s="267"/>
      <c r="F46" s="266"/>
      <c r="G46" s="274">
        <f>[3]Report!$M$182</f>
        <v>127364594.61366887</v>
      </c>
      <c r="H46" s="283" t="s">
        <v>712</v>
      </c>
      <c r="I46" s="297"/>
      <c r="J46" s="297"/>
      <c r="K46" s="295"/>
      <c r="L46" s="297"/>
      <c r="M46" s="297"/>
      <c r="N46" s="295"/>
      <c r="O46" s="296"/>
      <c r="P46" s="295"/>
    </row>
    <row r="47" spans="1:16" s="273" customFormat="1">
      <c r="A47" s="266"/>
      <c r="B47" s="267"/>
      <c r="C47" s="266"/>
      <c r="D47" s="266"/>
      <c r="E47" s="267"/>
      <c r="F47" s="266"/>
      <c r="G47" s="266"/>
      <c r="I47" s="297"/>
      <c r="J47" s="297"/>
      <c r="K47" s="295"/>
      <c r="L47" s="297"/>
      <c r="M47" s="297"/>
      <c r="N47" s="295"/>
      <c r="O47" s="296"/>
      <c r="P47" s="295"/>
    </row>
  </sheetData>
  <mergeCells count="4">
    <mergeCell ref="C8:D8"/>
    <mergeCell ref="F8:G8"/>
    <mergeCell ref="C9:D9"/>
    <mergeCell ref="F7:G7"/>
  </mergeCells>
  <printOptions horizontalCentered="1"/>
  <pageMargins left="0.5" right="0.5" top="0.5" bottom="0.5" header="0.25" footer="0.25"/>
  <pageSetup scale="77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zoomScale="85" zoomScaleNormal="85" workbookViewId="0">
      <pane xSplit="3" ySplit="6" topLeftCell="D101" activePane="bottomRight" state="frozen"/>
      <selection pane="topRight" activeCell="D1" sqref="D1"/>
      <selection pane="bottomLeft" activeCell="A7" sqref="A7"/>
      <selection pane="bottomRight" activeCell="H131" sqref="H131"/>
    </sheetView>
  </sheetViews>
  <sheetFormatPr defaultColWidth="9.42578125" defaultRowHeight="10.5"/>
  <cols>
    <col min="1" max="1" width="2.5703125" style="214" customWidth="1"/>
    <col min="2" max="2" width="2.28515625" style="214" customWidth="1"/>
    <col min="3" max="3" width="28.42578125" style="214" customWidth="1"/>
    <col min="4" max="4" width="11.85546875" style="214" customWidth="1"/>
    <col min="5" max="5" width="2" style="214" customWidth="1"/>
    <col min="6" max="6" width="13.5703125" style="214" customWidth="1"/>
    <col min="7" max="7" width="11.42578125" style="214" bestFit="1" customWidth="1"/>
    <col min="8" max="8" width="12.7109375" style="214" customWidth="1"/>
    <col min="9" max="9" width="11.85546875" style="214" bestFit="1" customWidth="1"/>
    <col min="10" max="10" width="9.42578125" style="214" customWidth="1"/>
    <col min="11" max="11" width="12.42578125" style="214" customWidth="1"/>
    <col min="12" max="12" width="9.42578125" style="214" customWidth="1"/>
    <col min="13" max="13" width="12.140625" style="214" bestFit="1" customWidth="1"/>
    <col min="14" max="14" width="17.28515625" style="215" bestFit="1" customWidth="1"/>
    <col min="15" max="15" width="12.85546875" style="214" bestFit="1" customWidth="1"/>
    <col min="16" max="16" width="12.5703125" style="214" bestFit="1" customWidth="1"/>
    <col min="17" max="16384" width="9.42578125" style="214"/>
  </cols>
  <sheetData>
    <row r="1" spans="1:14">
      <c r="A1" s="263" t="s">
        <v>0</v>
      </c>
      <c r="D1" s="224"/>
      <c r="E1" s="259"/>
      <c r="F1" s="252" t="s">
        <v>705</v>
      </c>
    </row>
    <row r="2" spans="1:14">
      <c r="A2" s="262"/>
      <c r="D2" s="224"/>
      <c r="E2" s="259"/>
      <c r="F2" s="259" t="s">
        <v>704</v>
      </c>
      <c r="K2" s="261"/>
    </row>
    <row r="3" spans="1:14">
      <c r="A3" s="258" t="s">
        <v>703</v>
      </c>
      <c r="D3" s="260"/>
      <c r="E3" s="260"/>
      <c r="F3" s="252" t="s">
        <v>702</v>
      </c>
    </row>
    <row r="4" spans="1:14">
      <c r="A4" s="310">
        <v>42430</v>
      </c>
      <c r="B4" s="310"/>
      <c r="C4" s="310"/>
      <c r="D4" s="260"/>
      <c r="E4" s="260"/>
      <c r="F4" s="259"/>
    </row>
    <row r="5" spans="1:14">
      <c r="B5" s="258"/>
      <c r="D5" s="223" t="s">
        <v>701</v>
      </c>
      <c r="E5" s="223"/>
      <c r="F5" s="257" t="s">
        <v>700</v>
      </c>
      <c r="G5" s="257" t="s">
        <v>700</v>
      </c>
      <c r="H5" s="257"/>
      <c r="I5" s="257"/>
    </row>
    <row r="6" spans="1:14" s="223" customFormat="1">
      <c r="A6" s="214"/>
      <c r="B6" s="214"/>
      <c r="C6" s="214"/>
      <c r="D6" s="256" t="s">
        <v>706</v>
      </c>
      <c r="E6" s="255"/>
      <c r="F6" s="254" t="s">
        <v>699</v>
      </c>
      <c r="G6" s="254" t="s">
        <v>698</v>
      </c>
      <c r="H6" s="254" t="s">
        <v>697</v>
      </c>
      <c r="I6" s="254" t="s">
        <v>696</v>
      </c>
      <c r="N6" s="253"/>
    </row>
    <row r="7" spans="1:14">
      <c r="A7" s="214" t="s">
        <v>695</v>
      </c>
      <c r="F7" s="227"/>
      <c r="G7" s="227"/>
      <c r="H7" s="227"/>
      <c r="I7" s="227"/>
    </row>
    <row r="8" spans="1:14">
      <c r="B8" s="224" t="s">
        <v>694</v>
      </c>
      <c r="D8" s="221">
        <v>0</v>
      </c>
      <c r="E8" s="222"/>
      <c r="F8" s="221">
        <f>D8</f>
        <v>0</v>
      </c>
      <c r="G8" s="224"/>
      <c r="H8" s="224"/>
      <c r="I8" s="224"/>
    </row>
    <row r="9" spans="1:14">
      <c r="B9" s="224"/>
      <c r="D9" s="222"/>
      <c r="E9" s="222"/>
      <c r="F9" s="245"/>
      <c r="G9" s="227"/>
      <c r="H9" s="227"/>
      <c r="I9" s="227"/>
    </row>
    <row r="10" spans="1:14">
      <c r="B10" s="224" t="s">
        <v>655</v>
      </c>
      <c r="D10" s="221">
        <v>94170486.420000002</v>
      </c>
      <c r="E10" s="222"/>
      <c r="F10" s="245"/>
      <c r="G10" s="227"/>
      <c r="H10" s="227"/>
      <c r="I10" s="221">
        <f>D10</f>
        <v>94170486.420000002</v>
      </c>
    </row>
    <row r="11" spans="1:14">
      <c r="B11" s="224"/>
      <c r="D11" s="222"/>
      <c r="E11" s="222"/>
      <c r="F11" s="245"/>
      <c r="G11" s="227"/>
      <c r="H11" s="227"/>
      <c r="I11" s="227"/>
    </row>
    <row r="12" spans="1:14">
      <c r="B12" s="224" t="s">
        <v>693</v>
      </c>
      <c r="D12" s="221">
        <v>0</v>
      </c>
      <c r="E12" s="222"/>
      <c r="F12" s="221">
        <f>D12</f>
        <v>0</v>
      </c>
      <c r="G12" s="227"/>
      <c r="H12" s="227"/>
      <c r="I12" s="227"/>
    </row>
    <row r="13" spans="1:14">
      <c r="C13" s="224"/>
      <c r="D13" s="222"/>
      <c r="E13" s="222"/>
      <c r="F13" s="227"/>
      <c r="G13" s="227"/>
      <c r="H13" s="227"/>
      <c r="I13" s="227"/>
    </row>
    <row r="14" spans="1:14">
      <c r="B14" s="214" t="s">
        <v>692</v>
      </c>
      <c r="C14" s="224"/>
      <c r="D14" s="221">
        <v>0</v>
      </c>
      <c r="E14" s="222"/>
      <c r="F14" s="227"/>
      <c r="G14" s="227"/>
      <c r="H14" s="221">
        <f>D14</f>
        <v>0</v>
      </c>
      <c r="I14" s="227"/>
    </row>
    <row r="15" spans="1:14" ht="11.25" thickBot="1">
      <c r="D15" s="223" t="s">
        <v>649</v>
      </c>
      <c r="E15" s="217" t="s">
        <v>645</v>
      </c>
      <c r="F15" s="223" t="s">
        <v>649</v>
      </c>
      <c r="G15" s="223" t="s">
        <v>649</v>
      </c>
      <c r="H15" s="223" t="s">
        <v>649</v>
      </c>
      <c r="I15" s="223" t="s">
        <v>649</v>
      </c>
    </row>
    <row r="16" spans="1:14" ht="11.25" thickBot="1">
      <c r="A16" s="214" t="s">
        <v>691</v>
      </c>
      <c r="D16" s="221">
        <f>SUM(D8:D14)</f>
        <v>94170486.420000002</v>
      </c>
      <c r="E16" s="222"/>
      <c r="F16" s="221">
        <f>SUM(F8:F14)</f>
        <v>0</v>
      </c>
      <c r="G16" s="221">
        <f>SUM(G8:G14)</f>
        <v>0</v>
      </c>
      <c r="H16" s="221">
        <f>SUM(H8:H14)</f>
        <v>0</v>
      </c>
      <c r="I16" s="221">
        <f>SUM(I8:I14)</f>
        <v>94170486.420000002</v>
      </c>
      <c r="K16" s="220">
        <v>0</v>
      </c>
      <c r="L16" s="219" t="s">
        <v>646</v>
      </c>
      <c r="M16" s="218">
        <f>D16-SUM(F16:I16)</f>
        <v>0</v>
      </c>
    </row>
    <row r="17" spans="1:19">
      <c r="D17" s="222"/>
      <c r="E17" s="222"/>
      <c r="F17" s="222"/>
      <c r="G17" s="222"/>
      <c r="H17" s="222"/>
      <c r="I17" s="222"/>
      <c r="P17" s="252" t="s">
        <v>690</v>
      </c>
    </row>
    <row r="18" spans="1:19">
      <c r="D18" s="224"/>
      <c r="E18" s="227"/>
      <c r="F18" s="227"/>
      <c r="G18" s="227"/>
      <c r="H18" s="227"/>
      <c r="I18" s="227"/>
      <c r="N18" s="251"/>
      <c r="O18" s="250"/>
      <c r="P18" s="249">
        <f>+A4</f>
        <v>42430</v>
      </c>
    </row>
    <row r="19" spans="1:19" ht="11.25">
      <c r="A19" s="214" t="s">
        <v>689</v>
      </c>
      <c r="D19" s="222"/>
      <c r="E19" s="222"/>
      <c r="F19" s="248"/>
      <c r="G19" s="227"/>
      <c r="H19" s="227"/>
      <c r="I19" s="227"/>
      <c r="N19" s="232" t="s">
        <v>688</v>
      </c>
      <c r="O19" s="247">
        <v>0</v>
      </c>
      <c r="P19" s="222">
        <v>0</v>
      </c>
      <c r="Q19" s="246"/>
      <c r="R19" s="238"/>
      <c r="S19" s="222"/>
    </row>
    <row r="20" spans="1:19" ht="11.25">
      <c r="B20" s="224"/>
      <c r="C20" s="214" t="s">
        <v>687</v>
      </c>
      <c r="D20" s="221">
        <v>0</v>
      </c>
      <c r="E20" s="222"/>
      <c r="F20" s="221">
        <f>D20</f>
        <v>0</v>
      </c>
      <c r="G20" s="227"/>
      <c r="H20" s="227"/>
      <c r="I20" s="227"/>
      <c r="N20" s="232" t="s">
        <v>686</v>
      </c>
      <c r="O20" s="247">
        <f>1-O19</f>
        <v>1</v>
      </c>
      <c r="P20" s="222">
        <v>579500.26</v>
      </c>
      <c r="Q20" s="246"/>
      <c r="R20" s="238"/>
      <c r="S20" s="222"/>
    </row>
    <row r="21" spans="1:19" ht="11.25">
      <c r="B21" s="224"/>
      <c r="C21" s="214" t="s">
        <v>685</v>
      </c>
      <c r="D21" s="221">
        <v>0</v>
      </c>
      <c r="E21" s="222"/>
      <c r="F21" s="221">
        <f>D21-G21</f>
        <v>0</v>
      </c>
      <c r="G21" s="221">
        <v>0</v>
      </c>
      <c r="H21" s="227"/>
      <c r="I21" s="227"/>
      <c r="N21" s="232" t="s">
        <v>684</v>
      </c>
      <c r="O21" s="247">
        <f>IFERROR(P21/(P21+P22),0)</f>
        <v>0</v>
      </c>
      <c r="P21" s="222">
        <v>0</v>
      </c>
      <c r="Q21" s="246"/>
      <c r="R21" s="238"/>
      <c r="S21" s="222"/>
    </row>
    <row r="22" spans="1:19" ht="11.25">
      <c r="B22" s="224"/>
      <c r="C22" s="214" t="s">
        <v>101</v>
      </c>
      <c r="D22" s="221">
        <v>2377074.9600000004</v>
      </c>
      <c r="E22" s="222"/>
      <c r="F22" s="221">
        <f>D22*0.3</f>
        <v>713122.48800000013</v>
      </c>
      <c r="G22" s="221">
        <f>D22*0.7</f>
        <v>1663952.4720000003</v>
      </c>
      <c r="H22" s="227"/>
      <c r="I22" s="227"/>
      <c r="N22" s="232" t="s">
        <v>683</v>
      </c>
      <c r="O22" s="247">
        <f>1-O21</f>
        <v>1</v>
      </c>
      <c r="P22" s="222">
        <v>0</v>
      </c>
      <c r="Q22" s="246"/>
      <c r="R22" s="238"/>
      <c r="S22" s="222"/>
    </row>
    <row r="23" spans="1:19">
      <c r="B23" s="224"/>
      <c r="C23" s="214" t="s">
        <v>682</v>
      </c>
      <c r="D23" s="221">
        <v>235041.74</v>
      </c>
      <c r="E23" s="222"/>
      <c r="F23" s="221">
        <f>D23*0.2073628</f>
        <v>48738.913323271998</v>
      </c>
      <c r="G23" s="221">
        <f>D23-F23</f>
        <v>186302.826676728</v>
      </c>
      <c r="H23" s="227"/>
      <c r="I23" s="227"/>
    </row>
    <row r="24" spans="1:19">
      <c r="B24" s="224"/>
      <c r="C24" s="214" t="s">
        <v>681</v>
      </c>
      <c r="D24" s="221">
        <f>N27</f>
        <v>579500.26</v>
      </c>
      <c r="E24" s="222"/>
      <c r="F24" s="242">
        <f>(N25+N24*O19)*K24</f>
        <v>0</v>
      </c>
      <c r="G24" s="242">
        <f>(N25+N24*O19)*L24</f>
        <v>0</v>
      </c>
      <c r="H24" s="227"/>
      <c r="I24" s="242">
        <f>(N26+N24*O20)</f>
        <v>579500.26</v>
      </c>
      <c r="K24" s="241">
        <v>0.17029549999999999</v>
      </c>
      <c r="L24" s="241">
        <f>1-K24</f>
        <v>0.82970450000000007</v>
      </c>
      <c r="N24" s="221">
        <v>579500.26</v>
      </c>
      <c r="O24" s="224" t="s">
        <v>680</v>
      </c>
    </row>
    <row r="25" spans="1:19">
      <c r="B25" s="224"/>
      <c r="C25" s="214" t="s">
        <v>246</v>
      </c>
      <c r="D25" s="221">
        <v>0</v>
      </c>
      <c r="E25" s="222"/>
      <c r="F25" s="227"/>
      <c r="G25" s="221">
        <f>D25</f>
        <v>0</v>
      </c>
      <c r="H25" s="227"/>
      <c r="I25" s="221"/>
      <c r="N25" s="221">
        <v>0</v>
      </c>
      <c r="O25" s="224" t="s">
        <v>679</v>
      </c>
    </row>
    <row r="26" spans="1:19">
      <c r="B26" s="236" t="s">
        <v>667</v>
      </c>
      <c r="C26" s="217"/>
      <c r="D26" s="223" t="s">
        <v>649</v>
      </c>
      <c r="E26" s="217" t="s">
        <v>645</v>
      </c>
      <c r="F26" s="223" t="s">
        <v>649</v>
      </c>
      <c r="G26" s="223" t="s">
        <v>649</v>
      </c>
      <c r="H26" s="223" t="s">
        <v>649</v>
      </c>
      <c r="I26" s="223" t="s">
        <v>649</v>
      </c>
      <c r="K26" s="241"/>
      <c r="L26" s="241"/>
      <c r="N26" s="240">
        <v>0</v>
      </c>
      <c r="O26" s="224" t="s">
        <v>678</v>
      </c>
    </row>
    <row r="27" spans="1:19">
      <c r="B27" s="214" t="s">
        <v>677</v>
      </c>
      <c r="C27" s="224"/>
      <c r="D27" s="221">
        <f>SUM(D20:D26)</f>
        <v>3191616.96</v>
      </c>
      <c r="E27" s="222"/>
      <c r="F27" s="221">
        <f>SUM(F20:F26)</f>
        <v>761861.40132327215</v>
      </c>
      <c r="G27" s="221">
        <f>SUM(G20:G26)</f>
        <v>1850255.2986767283</v>
      </c>
      <c r="H27" s="221">
        <f>SUM(H20:H26)</f>
        <v>0</v>
      </c>
      <c r="I27" s="221">
        <f>SUM(I20:I26)</f>
        <v>579500.26</v>
      </c>
      <c r="K27" s="241"/>
      <c r="L27" s="241"/>
      <c r="N27" s="221">
        <f>SUM(N24:N26)</f>
        <v>579500.26</v>
      </c>
      <c r="O27" s="224"/>
    </row>
    <row r="28" spans="1:19" ht="12.75">
      <c r="D28" s="245"/>
      <c r="E28" s="222"/>
      <c r="F28" s="245"/>
      <c r="G28" s="245"/>
      <c r="H28" s="227"/>
      <c r="I28" s="227"/>
      <c r="K28" s="241"/>
      <c r="L28" s="241"/>
      <c r="N28" s="244"/>
      <c r="O28" s="231"/>
    </row>
    <row r="29" spans="1:19">
      <c r="B29" s="224"/>
      <c r="C29" s="214" t="s">
        <v>676</v>
      </c>
      <c r="D29" s="221">
        <v>0</v>
      </c>
      <c r="E29" s="222"/>
      <c r="F29" s="221"/>
      <c r="G29" s="221">
        <f>D29</f>
        <v>0</v>
      </c>
      <c r="H29" s="227"/>
      <c r="I29" s="227"/>
      <c r="K29" s="241"/>
      <c r="L29" s="241"/>
      <c r="N29" s="221">
        <v>0</v>
      </c>
      <c r="O29" s="224" t="s">
        <v>675</v>
      </c>
    </row>
    <row r="30" spans="1:19">
      <c r="B30" s="224"/>
      <c r="C30" s="214" t="s">
        <v>674</v>
      </c>
      <c r="D30" s="221">
        <v>0</v>
      </c>
      <c r="E30" s="222"/>
      <c r="F30" s="221"/>
      <c r="G30" s="221">
        <f>D30</f>
        <v>0</v>
      </c>
      <c r="H30" s="227"/>
      <c r="I30" s="227"/>
      <c r="K30" s="241"/>
      <c r="L30" s="241"/>
      <c r="M30" s="243"/>
      <c r="N30" s="221">
        <v>0</v>
      </c>
      <c r="O30" s="224" t="s">
        <v>673</v>
      </c>
    </row>
    <row r="31" spans="1:19">
      <c r="B31" s="224"/>
      <c r="C31" s="214" t="s">
        <v>672</v>
      </c>
      <c r="D31" s="221">
        <f>N32</f>
        <v>0</v>
      </c>
      <c r="E31" s="222"/>
      <c r="F31" s="242">
        <f>(N30+N29*O21)*K31</f>
        <v>0</v>
      </c>
      <c r="G31" s="242">
        <f>(N30+N29*O21)*L31</f>
        <v>0</v>
      </c>
      <c r="H31" s="227"/>
      <c r="I31" s="242">
        <f>(N31+N29*O22)</f>
        <v>0</v>
      </c>
      <c r="K31" s="241">
        <v>0.7</v>
      </c>
      <c r="L31" s="241">
        <f>1-K31</f>
        <v>0.30000000000000004</v>
      </c>
      <c r="N31" s="240">
        <v>0</v>
      </c>
      <c r="O31" s="224" t="s">
        <v>671</v>
      </c>
    </row>
    <row r="32" spans="1:19">
      <c r="B32" s="224"/>
      <c r="C32" s="214" t="s">
        <v>670</v>
      </c>
      <c r="D32" s="221">
        <v>0</v>
      </c>
      <c r="E32" s="222"/>
      <c r="F32" s="221">
        <f>D32</f>
        <v>0</v>
      </c>
      <c r="G32" s="221">
        <v>0</v>
      </c>
      <c r="H32" s="227"/>
      <c r="I32" s="227"/>
      <c r="N32" s="239">
        <f>SUM(N29:N31)</f>
        <v>0</v>
      </c>
      <c r="O32" s="224"/>
    </row>
    <row r="33" spans="2:18">
      <c r="B33" s="224"/>
      <c r="C33" s="214" t="s">
        <v>245</v>
      </c>
      <c r="D33" s="221">
        <v>0</v>
      </c>
      <c r="E33" s="222"/>
      <c r="F33" s="227"/>
      <c r="G33" s="221">
        <f>D33</f>
        <v>0</v>
      </c>
      <c r="H33" s="227"/>
      <c r="I33" s="227"/>
      <c r="N33" s="239"/>
      <c r="O33" s="224"/>
    </row>
    <row r="34" spans="2:18">
      <c r="B34" s="224"/>
      <c r="C34" s="214" t="s">
        <v>669</v>
      </c>
      <c r="D34" s="221">
        <v>0</v>
      </c>
      <c r="E34" s="222"/>
      <c r="F34" s="221">
        <v>0</v>
      </c>
      <c r="G34" s="221">
        <v>0</v>
      </c>
      <c r="H34" s="227"/>
      <c r="I34" s="227"/>
    </row>
    <row r="35" spans="2:18">
      <c r="B35" s="236" t="s">
        <v>667</v>
      </c>
      <c r="C35" s="217"/>
      <c r="D35" s="223" t="s">
        <v>649</v>
      </c>
      <c r="E35" s="217" t="s">
        <v>645</v>
      </c>
      <c r="F35" s="223" t="s">
        <v>649</v>
      </c>
      <c r="G35" s="223" t="s">
        <v>649</v>
      </c>
      <c r="H35" s="223" t="s">
        <v>649</v>
      </c>
      <c r="I35" s="223" t="s">
        <v>649</v>
      </c>
      <c r="R35" s="238"/>
    </row>
    <row r="36" spans="2:18">
      <c r="B36" s="214" t="s">
        <v>668</v>
      </c>
      <c r="C36" s="224"/>
      <c r="D36" s="221">
        <f>SUM(D29:D35)</f>
        <v>0</v>
      </c>
      <c r="E36" s="222"/>
      <c r="F36" s="221">
        <f>SUM(F29:F35)</f>
        <v>0</v>
      </c>
      <c r="G36" s="221">
        <f>SUM(G29:G35)</f>
        <v>0</v>
      </c>
      <c r="H36" s="221">
        <f>SUM(H29:H35)</f>
        <v>0</v>
      </c>
      <c r="I36" s="221">
        <f>SUM(I29:I35)</f>
        <v>0</v>
      </c>
    </row>
    <row r="37" spans="2:18">
      <c r="D37" s="222"/>
      <c r="E37" s="222"/>
      <c r="F37" s="227"/>
      <c r="G37" s="227"/>
      <c r="H37" s="227"/>
      <c r="I37" s="227"/>
      <c r="N37" s="214"/>
    </row>
    <row r="38" spans="2:18">
      <c r="B38" s="224"/>
      <c r="C38" s="214" t="s">
        <v>168</v>
      </c>
      <c r="D38" s="221">
        <v>0</v>
      </c>
      <c r="E38" s="222"/>
      <c r="F38" s="227"/>
      <c r="G38" s="227"/>
      <c r="H38" s="227"/>
      <c r="I38" s="221">
        <f t="shared" ref="I38:I65" si="0">IF(K38="Post Merger",D38,0)</f>
        <v>0</v>
      </c>
      <c r="K38" s="214" t="s">
        <v>655</v>
      </c>
    </row>
    <row r="39" spans="2:18">
      <c r="B39" s="224"/>
      <c r="C39" s="214" t="s">
        <v>171</v>
      </c>
      <c r="D39" s="221">
        <v>0</v>
      </c>
      <c r="E39" s="222"/>
      <c r="F39" s="227"/>
      <c r="G39" s="227"/>
      <c r="H39" s="227"/>
      <c r="I39" s="221">
        <f t="shared" si="0"/>
        <v>0</v>
      </c>
      <c r="K39" s="214" t="s">
        <v>655</v>
      </c>
    </row>
    <row r="40" spans="2:18">
      <c r="B40" s="224"/>
      <c r="C40" s="214" t="s">
        <v>172</v>
      </c>
      <c r="D40" s="221">
        <v>0</v>
      </c>
      <c r="E40" s="222"/>
      <c r="F40" s="227"/>
      <c r="G40" s="227"/>
      <c r="H40" s="227"/>
      <c r="I40" s="221">
        <f t="shared" si="0"/>
        <v>0</v>
      </c>
      <c r="K40" s="214" t="s">
        <v>655</v>
      </c>
    </row>
    <row r="41" spans="2:18">
      <c r="B41" s="224"/>
      <c r="C41" s="214" t="s">
        <v>174</v>
      </c>
      <c r="D41" s="221">
        <v>0</v>
      </c>
      <c r="E41" s="222"/>
      <c r="F41" s="227"/>
      <c r="G41" s="227"/>
      <c r="H41" s="227"/>
      <c r="I41" s="221">
        <f t="shared" si="0"/>
        <v>0</v>
      </c>
      <c r="K41" s="214" t="s">
        <v>655</v>
      </c>
    </row>
    <row r="42" spans="2:18">
      <c r="B42" s="224"/>
      <c r="C42" s="214" t="s">
        <v>177</v>
      </c>
      <c r="D42" s="221">
        <v>0</v>
      </c>
      <c r="E42" s="222"/>
      <c r="F42" s="227"/>
      <c r="G42" s="227"/>
      <c r="H42" s="227"/>
      <c r="I42" s="221">
        <f t="shared" si="0"/>
        <v>0</v>
      </c>
      <c r="K42" s="214" t="s">
        <v>655</v>
      </c>
    </row>
    <row r="43" spans="2:18">
      <c r="B43" s="224"/>
      <c r="C43" s="214" t="s">
        <v>178</v>
      </c>
      <c r="D43" s="221">
        <v>5225444.6900000004</v>
      </c>
      <c r="E43" s="222"/>
      <c r="F43" s="227"/>
      <c r="G43" s="227"/>
      <c r="H43" s="227"/>
      <c r="I43" s="221">
        <f t="shared" si="0"/>
        <v>5225444.6900000004</v>
      </c>
      <c r="K43" s="214" t="s">
        <v>655</v>
      </c>
    </row>
    <row r="44" spans="2:18">
      <c r="B44" s="224"/>
      <c r="C44" s="214" t="s">
        <v>180</v>
      </c>
      <c r="D44" s="221">
        <v>0</v>
      </c>
      <c r="E44" s="222"/>
      <c r="F44" s="227"/>
      <c r="G44" s="227"/>
      <c r="H44" s="227"/>
      <c r="I44" s="221">
        <f t="shared" si="0"/>
        <v>0</v>
      </c>
      <c r="K44" s="214" t="s">
        <v>655</v>
      </c>
    </row>
    <row r="45" spans="2:18">
      <c r="B45" s="224"/>
      <c r="C45" s="214" t="s">
        <v>188</v>
      </c>
      <c r="D45" s="221">
        <v>4573171.12</v>
      </c>
      <c r="E45" s="222"/>
      <c r="F45" s="227"/>
      <c r="G45" s="227"/>
      <c r="H45" s="227"/>
      <c r="I45" s="221">
        <f t="shared" si="0"/>
        <v>4573171.12</v>
      </c>
      <c r="K45" s="214" t="s">
        <v>655</v>
      </c>
    </row>
    <row r="46" spans="2:18">
      <c r="B46" s="224"/>
      <c r="C46" s="214" t="s">
        <v>192</v>
      </c>
      <c r="D46" s="221">
        <v>81165141.829999998</v>
      </c>
      <c r="E46" s="222"/>
      <c r="F46" s="227"/>
      <c r="G46" s="227"/>
      <c r="H46" s="227"/>
      <c r="I46" s="221">
        <f t="shared" si="0"/>
        <v>81165141.829999998</v>
      </c>
      <c r="K46" s="214" t="s">
        <v>655</v>
      </c>
    </row>
    <row r="47" spans="2:18">
      <c r="B47" s="224"/>
      <c r="C47" s="214" t="s">
        <v>196</v>
      </c>
      <c r="D47" s="221">
        <v>0</v>
      </c>
      <c r="E47" s="222"/>
      <c r="F47" s="227"/>
      <c r="G47" s="227"/>
      <c r="H47" s="227"/>
      <c r="I47" s="221">
        <f t="shared" si="0"/>
        <v>0</v>
      </c>
      <c r="K47" s="214" t="s">
        <v>655</v>
      </c>
    </row>
    <row r="48" spans="2:18">
      <c r="B48" s="224"/>
      <c r="C48" s="214" t="s">
        <v>198</v>
      </c>
      <c r="D48" s="221">
        <v>0</v>
      </c>
      <c r="E48" s="222"/>
      <c r="F48" s="227"/>
      <c r="G48" s="227"/>
      <c r="H48" s="227"/>
      <c r="I48" s="221">
        <f t="shared" si="0"/>
        <v>0</v>
      </c>
      <c r="K48" s="214" t="s">
        <v>655</v>
      </c>
    </row>
    <row r="49" spans="2:11">
      <c r="B49" s="224"/>
      <c r="C49" s="214" t="s">
        <v>204</v>
      </c>
      <c r="D49" s="221">
        <v>0</v>
      </c>
      <c r="E49" s="222"/>
      <c r="F49" s="227"/>
      <c r="G49" s="227"/>
      <c r="H49" s="227"/>
      <c r="I49" s="221">
        <f t="shared" si="0"/>
        <v>0</v>
      </c>
      <c r="K49" s="214" t="s">
        <v>655</v>
      </c>
    </row>
    <row r="50" spans="2:11">
      <c r="B50" s="224"/>
      <c r="C50" s="237" t="s">
        <v>208</v>
      </c>
      <c r="D50" s="221">
        <v>0</v>
      </c>
      <c r="E50" s="222"/>
      <c r="F50" s="227"/>
      <c r="G50" s="227"/>
      <c r="H50" s="227"/>
      <c r="I50" s="221">
        <f t="shared" si="0"/>
        <v>0</v>
      </c>
      <c r="K50" s="214" t="s">
        <v>655</v>
      </c>
    </row>
    <row r="51" spans="2:11">
      <c r="B51" s="224"/>
      <c r="C51" s="214" t="s">
        <v>213</v>
      </c>
      <c r="D51" s="221">
        <v>0</v>
      </c>
      <c r="E51" s="222"/>
      <c r="F51" s="227"/>
      <c r="G51" s="227"/>
      <c r="H51" s="227"/>
      <c r="I51" s="221">
        <f t="shared" si="0"/>
        <v>0</v>
      </c>
      <c r="K51" s="214" t="s">
        <v>655</v>
      </c>
    </row>
    <row r="52" spans="2:11">
      <c r="B52" s="224"/>
      <c r="C52" s="214" t="s">
        <v>218</v>
      </c>
      <c r="D52" s="221">
        <v>0</v>
      </c>
      <c r="E52" s="222"/>
      <c r="F52" s="227"/>
      <c r="G52" s="227"/>
      <c r="H52" s="227"/>
      <c r="I52" s="221">
        <f t="shared" si="0"/>
        <v>0</v>
      </c>
      <c r="K52" s="214" t="s">
        <v>655</v>
      </c>
    </row>
    <row r="53" spans="2:11">
      <c r="B53" s="224"/>
      <c r="C53" s="214" t="s">
        <v>227</v>
      </c>
      <c r="D53" s="221">
        <v>0</v>
      </c>
      <c r="E53" s="222"/>
      <c r="F53" s="227"/>
      <c r="G53" s="227"/>
      <c r="H53" s="227"/>
      <c r="I53" s="221">
        <f t="shared" si="0"/>
        <v>0</v>
      </c>
      <c r="K53" s="214" t="s">
        <v>655</v>
      </c>
    </row>
    <row r="54" spans="2:11">
      <c r="B54" s="224"/>
      <c r="C54" s="214" t="s">
        <v>230</v>
      </c>
      <c r="D54" s="221">
        <v>0</v>
      </c>
      <c r="E54" s="222"/>
      <c r="F54" s="227"/>
      <c r="G54" s="227"/>
      <c r="H54" s="227"/>
      <c r="I54" s="221">
        <f t="shared" si="0"/>
        <v>0</v>
      </c>
      <c r="K54" s="214" t="s">
        <v>655</v>
      </c>
    </row>
    <row r="55" spans="2:11">
      <c r="B55" s="224"/>
      <c r="C55" s="214" t="s">
        <v>239</v>
      </c>
      <c r="D55" s="221">
        <v>0</v>
      </c>
      <c r="E55" s="222"/>
      <c r="F55" s="227"/>
      <c r="G55" s="227"/>
      <c r="H55" s="227"/>
      <c r="I55" s="221">
        <f t="shared" si="0"/>
        <v>0</v>
      </c>
      <c r="K55" s="214" t="s">
        <v>655</v>
      </c>
    </row>
    <row r="56" spans="2:11">
      <c r="B56" s="224"/>
      <c r="C56" s="214" t="s">
        <v>242</v>
      </c>
      <c r="D56" s="221">
        <v>0</v>
      </c>
      <c r="E56" s="222"/>
      <c r="F56" s="227"/>
      <c r="G56" s="227"/>
      <c r="H56" s="227"/>
      <c r="I56" s="221">
        <f t="shared" si="0"/>
        <v>0</v>
      </c>
      <c r="K56" s="214" t="s">
        <v>655</v>
      </c>
    </row>
    <row r="57" spans="2:11">
      <c r="B57" s="224"/>
      <c r="C57" s="215" t="s">
        <v>247</v>
      </c>
      <c r="D57" s="221">
        <v>0</v>
      </c>
      <c r="E57" s="222"/>
      <c r="F57" s="227"/>
      <c r="G57" s="227"/>
      <c r="H57" s="227"/>
      <c r="I57" s="221">
        <f t="shared" si="0"/>
        <v>0</v>
      </c>
      <c r="K57" s="214" t="s">
        <v>655</v>
      </c>
    </row>
    <row r="58" spans="2:11">
      <c r="B58" s="224"/>
      <c r="C58" s="215" t="s">
        <v>251</v>
      </c>
      <c r="D58" s="221">
        <v>0</v>
      </c>
      <c r="E58" s="222"/>
      <c r="F58" s="227"/>
      <c r="G58" s="227"/>
      <c r="H58" s="227"/>
      <c r="I58" s="221">
        <f t="shared" si="0"/>
        <v>0</v>
      </c>
      <c r="K58" s="214" t="s">
        <v>655</v>
      </c>
    </row>
    <row r="59" spans="2:11">
      <c r="B59" s="224"/>
      <c r="C59" s="214" t="s">
        <v>253</v>
      </c>
      <c r="D59" s="221">
        <v>0</v>
      </c>
      <c r="E59" s="222"/>
      <c r="F59" s="227"/>
      <c r="G59" s="227"/>
      <c r="H59" s="227"/>
      <c r="I59" s="221">
        <f t="shared" si="0"/>
        <v>0</v>
      </c>
      <c r="K59" s="214" t="s">
        <v>655</v>
      </c>
    </row>
    <row r="60" spans="2:11">
      <c r="B60" s="224"/>
      <c r="C60" s="214" t="s">
        <v>255</v>
      </c>
      <c r="D60" s="221">
        <v>0</v>
      </c>
      <c r="E60" s="222"/>
      <c r="F60" s="227"/>
      <c r="G60" s="227"/>
      <c r="H60" s="227"/>
      <c r="I60" s="221">
        <f t="shared" si="0"/>
        <v>0</v>
      </c>
      <c r="K60" s="214" t="s">
        <v>655</v>
      </c>
    </row>
    <row r="61" spans="2:11">
      <c r="B61" s="224"/>
      <c r="C61" s="214" t="s">
        <v>257</v>
      </c>
      <c r="D61" s="221">
        <v>0</v>
      </c>
      <c r="E61" s="222"/>
      <c r="F61" s="227"/>
      <c r="G61" s="227"/>
      <c r="H61" s="227"/>
      <c r="I61" s="221">
        <f t="shared" si="0"/>
        <v>0</v>
      </c>
      <c r="K61" s="214" t="s">
        <v>655</v>
      </c>
    </row>
    <row r="62" spans="2:11">
      <c r="B62" s="224"/>
      <c r="C62" s="214" t="s">
        <v>391</v>
      </c>
      <c r="D62" s="221">
        <v>0</v>
      </c>
      <c r="E62" s="222"/>
      <c r="F62" s="227"/>
      <c r="G62" s="227"/>
      <c r="H62" s="227"/>
      <c r="I62" s="221">
        <f t="shared" si="0"/>
        <v>0</v>
      </c>
      <c r="K62" s="214" t="s">
        <v>655</v>
      </c>
    </row>
    <row r="63" spans="2:11">
      <c r="B63" s="224"/>
      <c r="C63" s="214" t="s">
        <v>396</v>
      </c>
      <c r="D63" s="221">
        <v>0</v>
      </c>
      <c r="E63" s="222"/>
      <c r="F63" s="227"/>
      <c r="G63" s="227"/>
      <c r="H63" s="227"/>
      <c r="I63" s="221">
        <f t="shared" si="0"/>
        <v>0</v>
      </c>
      <c r="K63" s="214" t="s">
        <v>655</v>
      </c>
    </row>
    <row r="64" spans="2:11">
      <c r="B64" s="224"/>
      <c r="C64" s="215" t="s">
        <v>407</v>
      </c>
      <c r="D64" s="221">
        <v>0</v>
      </c>
      <c r="E64" s="222"/>
      <c r="F64" s="227"/>
      <c r="G64" s="227"/>
      <c r="H64" s="227"/>
      <c r="I64" s="221">
        <f t="shared" si="0"/>
        <v>0</v>
      </c>
      <c r="K64" s="214" t="s">
        <v>655</v>
      </c>
    </row>
    <row r="65" spans="1:16">
      <c r="B65" s="224"/>
      <c r="C65" s="214" t="s">
        <v>421</v>
      </c>
      <c r="D65" s="221">
        <v>0</v>
      </c>
      <c r="E65" s="222"/>
      <c r="F65" s="227"/>
      <c r="G65" s="227"/>
      <c r="H65" s="227"/>
      <c r="I65" s="221">
        <f t="shared" si="0"/>
        <v>0</v>
      </c>
      <c r="K65" s="214" t="s">
        <v>655</v>
      </c>
    </row>
    <row r="66" spans="1:16">
      <c r="B66" s="224"/>
      <c r="C66" s="215"/>
      <c r="D66" s="221"/>
      <c r="E66" s="222"/>
      <c r="F66" s="227"/>
      <c r="G66" s="227"/>
      <c r="H66" s="227"/>
      <c r="I66" s="221"/>
    </row>
    <row r="67" spans="1:16">
      <c r="B67" s="237" t="s">
        <v>259</v>
      </c>
      <c r="C67" s="215"/>
      <c r="D67" s="221"/>
      <c r="E67" s="222"/>
      <c r="F67" s="227"/>
      <c r="G67" s="227"/>
      <c r="H67" s="227"/>
      <c r="I67" s="221"/>
    </row>
    <row r="68" spans="1:16" ht="11.25" thickBot="1">
      <c r="B68" s="224"/>
      <c r="C68" s="214" t="s">
        <v>260</v>
      </c>
      <c r="D68" s="221">
        <v>0</v>
      </c>
      <c r="E68" s="222"/>
      <c r="F68" s="227"/>
      <c r="G68" s="227"/>
      <c r="H68" s="227"/>
      <c r="I68" s="221">
        <f>IF(K68="Post Merger",D68,0)</f>
        <v>0</v>
      </c>
      <c r="K68" s="214" t="s">
        <v>655</v>
      </c>
    </row>
    <row r="69" spans="1:16" ht="11.25" thickBot="1">
      <c r="B69" s="224"/>
      <c r="D69" s="222"/>
      <c r="E69" s="222"/>
      <c r="F69" s="227"/>
      <c r="G69" s="227"/>
      <c r="H69" s="227"/>
      <c r="I69" s="227"/>
      <c r="K69" s="220">
        <v>0</v>
      </c>
      <c r="L69" s="219" t="s">
        <v>646</v>
      </c>
      <c r="M69" s="218">
        <v>0</v>
      </c>
    </row>
    <row r="70" spans="1:16">
      <c r="B70" s="224"/>
      <c r="C70" s="224" t="s">
        <v>429</v>
      </c>
      <c r="D70" s="221">
        <v>97080701.379999995</v>
      </c>
      <c r="E70" s="222"/>
      <c r="F70" s="227"/>
      <c r="G70" s="227"/>
      <c r="H70" s="227"/>
      <c r="I70" s="221">
        <f>D70</f>
        <v>97080701.379999995</v>
      </c>
    </row>
    <row r="71" spans="1:16" ht="11.25" thickBot="1">
      <c r="B71" s="236" t="s">
        <v>667</v>
      </c>
      <c r="C71" s="217"/>
      <c r="D71" s="223" t="s">
        <v>649</v>
      </c>
      <c r="E71" s="217" t="s">
        <v>645</v>
      </c>
      <c r="F71" s="223" t="s">
        <v>649</v>
      </c>
      <c r="G71" s="223" t="s">
        <v>649</v>
      </c>
      <c r="H71" s="223" t="s">
        <v>649</v>
      </c>
      <c r="I71" s="223" t="s">
        <v>649</v>
      </c>
    </row>
    <row r="72" spans="1:16" ht="11.25" thickBot="1">
      <c r="B72" s="214" t="s">
        <v>666</v>
      </c>
      <c r="C72" s="224"/>
      <c r="D72" s="221">
        <f>SUM(D38:D70)</f>
        <v>188044459.01999998</v>
      </c>
      <c r="E72" s="222"/>
      <c r="F72" s="221">
        <f>SUM(F38:F70)</f>
        <v>0</v>
      </c>
      <c r="G72" s="221">
        <f>SUM(G38:G70)</f>
        <v>0</v>
      </c>
      <c r="H72" s="221">
        <f>SUM(H38:H70)</f>
        <v>0</v>
      </c>
      <c r="I72" s="221">
        <f>SUM(I38:I70)</f>
        <v>188044459.01999998</v>
      </c>
      <c r="K72" s="220"/>
      <c r="L72" s="219" t="s">
        <v>646</v>
      </c>
      <c r="M72" s="218">
        <f>D72-SUM(F72:I72)</f>
        <v>0</v>
      </c>
    </row>
    <row r="73" spans="1:16">
      <c r="B73" s="214" t="s">
        <v>521</v>
      </c>
      <c r="D73" s="221">
        <v>1029917.84</v>
      </c>
      <c r="E73" s="222"/>
      <c r="F73" s="217"/>
      <c r="H73" s="221"/>
      <c r="I73" s="221">
        <f>D73</f>
        <v>1029917.84</v>
      </c>
      <c r="J73" s="224"/>
      <c r="K73" s="224"/>
      <c r="L73" s="224"/>
      <c r="M73" s="224"/>
    </row>
    <row r="74" spans="1:16">
      <c r="B74" s="214" t="s">
        <v>665</v>
      </c>
      <c r="C74" s="224"/>
      <c r="D74" s="221">
        <v>0</v>
      </c>
      <c r="E74" s="222"/>
      <c r="F74" s="221"/>
      <c r="G74" s="221"/>
      <c r="H74" s="221">
        <f>D74</f>
        <v>0</v>
      </c>
      <c r="I74" s="227"/>
    </row>
    <row r="75" spans="1:16" ht="11.25" thickBot="1">
      <c r="D75" s="223" t="s">
        <v>649</v>
      </c>
      <c r="E75" s="217" t="s">
        <v>645</v>
      </c>
      <c r="F75" s="223" t="s">
        <v>649</v>
      </c>
      <c r="G75" s="223" t="s">
        <v>649</v>
      </c>
      <c r="H75" s="223" t="s">
        <v>649</v>
      </c>
      <c r="I75" s="223" t="s">
        <v>649</v>
      </c>
    </row>
    <row r="76" spans="1:16" ht="11.25" thickBot="1">
      <c r="A76" s="214" t="s">
        <v>664</v>
      </c>
      <c r="D76" s="221">
        <f>D72+D73+D74+D36+D27</f>
        <v>192265993.81999999</v>
      </c>
      <c r="E76" s="222"/>
      <c r="F76" s="221">
        <f>F72+F73+F74+F36+F27</f>
        <v>761861.40132327215</v>
      </c>
      <c r="G76" s="221">
        <f>G72+G73+G74+G36+G27</f>
        <v>1850255.2986767283</v>
      </c>
      <c r="H76" s="221">
        <f>H72+H73+H74+H36+H27</f>
        <v>0</v>
      </c>
      <c r="I76" s="221">
        <f>I72+I73+I74+I36+I27</f>
        <v>189653877.11999997</v>
      </c>
      <c r="K76" s="220">
        <v>0</v>
      </c>
      <c r="L76" s="219" t="s">
        <v>646</v>
      </c>
      <c r="M76" s="218">
        <f>D76-SUM(F76:I76)</f>
        <v>0</v>
      </c>
    </row>
    <row r="77" spans="1:16">
      <c r="D77" s="222"/>
      <c r="E77" s="222"/>
      <c r="F77" s="222"/>
      <c r="G77" s="222"/>
      <c r="H77" s="222"/>
      <c r="I77" s="222"/>
    </row>
    <row r="78" spans="1:16">
      <c r="D78" s="222"/>
      <c r="E78" s="222"/>
      <c r="F78" s="222"/>
      <c r="G78" s="222"/>
      <c r="H78" s="222"/>
      <c r="I78" s="222"/>
    </row>
    <row r="79" spans="1:16" ht="11.25">
      <c r="A79" s="214" t="s">
        <v>663</v>
      </c>
      <c r="F79" s="227"/>
      <c r="G79" s="227"/>
      <c r="H79" s="227"/>
      <c r="I79" s="227"/>
      <c r="N79" s="232" t="s">
        <v>662</v>
      </c>
      <c r="O79" s="231">
        <v>25004656.075878002</v>
      </c>
      <c r="P79" s="221"/>
    </row>
    <row r="80" spans="1:16" ht="11.25">
      <c r="F80" s="227"/>
      <c r="G80" s="227"/>
      <c r="H80" s="227"/>
      <c r="I80" s="227"/>
      <c r="N80" s="232" t="s">
        <v>661</v>
      </c>
      <c r="O80" s="231">
        <v>0</v>
      </c>
      <c r="P80" s="221"/>
    </row>
    <row r="81" spans="1:16" s="224" customFormat="1" ht="11.25">
      <c r="A81" s="214"/>
      <c r="B81" s="214" t="s">
        <v>660</v>
      </c>
      <c r="D81" s="221">
        <f>SUM(F81:I81)</f>
        <v>25004656.075878002</v>
      </c>
      <c r="E81" s="222"/>
      <c r="F81" s="221">
        <f>O79</f>
        <v>25004656.075878002</v>
      </c>
      <c r="G81" s="227"/>
      <c r="H81" s="227"/>
      <c r="I81" s="227"/>
      <c r="J81" s="214"/>
      <c r="K81" s="235"/>
      <c r="L81" s="214"/>
      <c r="M81" s="214"/>
      <c r="N81" s="232" t="s">
        <v>659</v>
      </c>
      <c r="O81" s="231">
        <v>81317566.726856962</v>
      </c>
      <c r="P81" s="234"/>
    </row>
    <row r="82" spans="1:16" ht="11.25">
      <c r="A82" s="224"/>
      <c r="B82" s="224"/>
      <c r="C82" s="224"/>
      <c r="D82" s="224"/>
      <c r="E82" s="224"/>
      <c r="F82" s="224"/>
      <c r="G82" s="224"/>
      <c r="H82" s="224"/>
      <c r="I82" s="224"/>
      <c r="J82" s="224"/>
      <c r="K82" s="233"/>
      <c r="L82" s="224"/>
      <c r="M82" s="224"/>
      <c r="N82" s="232" t="s">
        <v>658</v>
      </c>
      <c r="O82" s="231">
        <v>0</v>
      </c>
      <c r="P82" s="221"/>
    </row>
    <row r="83" spans="1:16" ht="11.25">
      <c r="B83" s="214" t="s">
        <v>657</v>
      </c>
      <c r="C83" s="224"/>
      <c r="D83" s="221">
        <f>SUM(F83:I83)</f>
        <v>0</v>
      </c>
      <c r="E83" s="222"/>
      <c r="F83" s="221">
        <f>O80</f>
        <v>0</v>
      </c>
      <c r="G83" s="227"/>
      <c r="H83" s="227"/>
      <c r="I83" s="227"/>
      <c r="N83" s="232" t="s">
        <v>656</v>
      </c>
      <c r="O83" s="231">
        <v>2599790.666666667</v>
      </c>
      <c r="P83" s="221"/>
    </row>
    <row r="84" spans="1:16" ht="11.25" thickBot="1">
      <c r="C84" s="224"/>
      <c r="D84" s="222"/>
      <c r="E84" s="222"/>
      <c r="F84" s="227"/>
      <c r="G84" s="227"/>
      <c r="H84" s="227"/>
      <c r="I84" s="227"/>
      <c r="O84" s="231">
        <f>SUM(O79:O83)</f>
        <v>108922013.46940164</v>
      </c>
      <c r="P84" s="221"/>
    </row>
    <row r="85" spans="1:16" ht="11.25" thickBot="1">
      <c r="B85" s="214" t="s">
        <v>655</v>
      </c>
      <c r="C85" s="224"/>
      <c r="D85" s="221">
        <f>D90-(D81+D83+D87)</f>
        <v>83917356.924122006</v>
      </c>
      <c r="E85" s="222"/>
      <c r="F85" s="230"/>
      <c r="G85" s="227"/>
      <c r="H85" s="227"/>
      <c r="I85" s="221">
        <f>D85</f>
        <v>83917356.924122006</v>
      </c>
      <c r="N85" s="229" t="s">
        <v>646</v>
      </c>
      <c r="O85" s="218">
        <v>0</v>
      </c>
      <c r="P85" s="228"/>
    </row>
    <row r="86" spans="1:16">
      <c r="F86" s="227"/>
      <c r="G86" s="227"/>
      <c r="H86" s="227"/>
      <c r="I86" s="227"/>
    </row>
    <row r="87" spans="1:16" s="224" customFormat="1">
      <c r="A87" s="214"/>
      <c r="B87" s="224" t="s">
        <v>654</v>
      </c>
      <c r="C87" s="214"/>
      <c r="D87" s="221">
        <v>0</v>
      </c>
      <c r="E87" s="222"/>
      <c r="F87" s="227"/>
      <c r="H87" s="221">
        <f>D87</f>
        <v>0</v>
      </c>
      <c r="I87" s="227"/>
      <c r="J87" s="214"/>
      <c r="K87" s="214"/>
      <c r="L87" s="214"/>
      <c r="M87" s="214"/>
      <c r="N87" s="215"/>
    </row>
    <row r="88" spans="1:16">
      <c r="A88" s="224"/>
      <c r="B88" s="224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</row>
    <row r="89" spans="1:16" ht="11.25" thickBot="1">
      <c r="D89" s="223" t="s">
        <v>649</v>
      </c>
      <c r="E89" s="217" t="s">
        <v>645</v>
      </c>
      <c r="F89" s="223" t="s">
        <v>649</v>
      </c>
      <c r="G89" s="223" t="s">
        <v>649</v>
      </c>
      <c r="H89" s="223" t="s">
        <v>649</v>
      </c>
      <c r="I89" s="223" t="s">
        <v>649</v>
      </c>
    </row>
    <row r="90" spans="1:16" s="224" customFormat="1" ht="11.25" thickBot="1">
      <c r="A90" s="214" t="s">
        <v>653</v>
      </c>
      <c r="B90" s="214"/>
      <c r="C90" s="214"/>
      <c r="D90" s="221">
        <v>108922013</v>
      </c>
      <c r="E90" s="222"/>
      <c r="F90" s="221">
        <f>SUM(F81:F87)</f>
        <v>25004656.075878002</v>
      </c>
      <c r="G90" s="221">
        <f>SUM(G81:G87)</f>
        <v>0</v>
      </c>
      <c r="H90" s="221">
        <f>SUM(H81:H87)</f>
        <v>0</v>
      </c>
      <c r="I90" s="221">
        <f>SUM(I81:I87)</f>
        <v>83917356.924122006</v>
      </c>
      <c r="J90" s="214"/>
      <c r="K90" s="220">
        <f>D90-(D81+D83+D85+D87)</f>
        <v>0</v>
      </c>
      <c r="L90" s="219" t="s">
        <v>646</v>
      </c>
      <c r="M90" s="218">
        <f>D90-SUM(F90:I90)</f>
        <v>0</v>
      </c>
      <c r="N90" s="215"/>
    </row>
    <row r="91" spans="1:16" s="224" customFormat="1">
      <c r="A91" s="214"/>
      <c r="B91" s="214"/>
      <c r="C91" s="214"/>
      <c r="D91" s="214"/>
      <c r="E91" s="214"/>
      <c r="G91" s="214"/>
      <c r="H91" s="214"/>
      <c r="I91" s="214"/>
      <c r="N91" s="215"/>
    </row>
    <row r="92" spans="1:16" s="224" customFormat="1">
      <c r="A92" s="214" t="s">
        <v>652</v>
      </c>
      <c r="B92" s="214"/>
      <c r="C92" s="214"/>
      <c r="D92" s="214"/>
      <c r="E92" s="214"/>
      <c r="G92" s="214"/>
      <c r="H92" s="214"/>
      <c r="I92" s="214"/>
      <c r="N92" s="215"/>
    </row>
    <row r="93" spans="1:16" s="224" customFormat="1">
      <c r="A93" s="214"/>
      <c r="B93" s="222" t="s">
        <v>453</v>
      </c>
      <c r="C93" s="214"/>
      <c r="D93" s="221">
        <v>0</v>
      </c>
      <c r="E93" s="222"/>
      <c r="G93" s="214"/>
      <c r="H93" s="221">
        <f t="shared" ref="H93:H111" si="1">D93</f>
        <v>0</v>
      </c>
      <c r="I93" s="225"/>
      <c r="N93" s="215"/>
    </row>
    <row r="94" spans="1:16" s="224" customFormat="1">
      <c r="A94" s="214"/>
      <c r="B94" s="222" t="s">
        <v>106</v>
      </c>
      <c r="C94" s="214"/>
      <c r="D94" s="221">
        <v>0</v>
      </c>
      <c r="E94" s="222"/>
      <c r="G94" s="214"/>
      <c r="H94" s="221">
        <f t="shared" si="1"/>
        <v>0</v>
      </c>
      <c r="I94" s="225"/>
      <c r="N94" s="215"/>
    </row>
    <row r="95" spans="1:16" s="224" customFormat="1">
      <c r="A95" s="214"/>
      <c r="B95" s="222" t="s">
        <v>454</v>
      </c>
      <c r="C95" s="214"/>
      <c r="D95" s="221">
        <v>8309919.2199999997</v>
      </c>
      <c r="E95" s="222"/>
      <c r="G95" s="214"/>
      <c r="H95" s="221">
        <f t="shared" si="1"/>
        <v>8309919.2199999997</v>
      </c>
      <c r="I95" s="225"/>
      <c r="N95" s="215"/>
    </row>
    <row r="96" spans="1:16" s="224" customFormat="1">
      <c r="A96" s="214"/>
      <c r="B96" s="222" t="s">
        <v>455</v>
      </c>
      <c r="C96" s="214"/>
      <c r="D96" s="221">
        <v>0</v>
      </c>
      <c r="E96" s="222"/>
      <c r="G96" s="214"/>
      <c r="H96" s="221">
        <f t="shared" si="1"/>
        <v>0</v>
      </c>
      <c r="I96" s="225"/>
      <c r="N96" s="215"/>
    </row>
    <row r="97" spans="1:14" s="224" customFormat="1">
      <c r="A97" s="214"/>
      <c r="B97" s="222" t="s">
        <v>116</v>
      </c>
      <c r="C97" s="214"/>
      <c r="D97" s="221">
        <v>50097230.910000004</v>
      </c>
      <c r="E97" s="222"/>
      <c r="G97" s="214"/>
      <c r="H97" s="221">
        <f t="shared" si="1"/>
        <v>50097230.910000004</v>
      </c>
      <c r="I97" s="225"/>
      <c r="N97" s="215"/>
    </row>
    <row r="98" spans="1:14" s="224" customFormat="1">
      <c r="A98" s="214"/>
      <c r="B98" s="222" t="s">
        <v>466</v>
      </c>
      <c r="C98" s="214"/>
      <c r="D98" s="221">
        <v>0</v>
      </c>
      <c r="E98" s="222"/>
      <c r="G98" s="214"/>
      <c r="H98" s="221">
        <f t="shared" si="1"/>
        <v>0</v>
      </c>
      <c r="I98" s="225"/>
      <c r="N98" s="215"/>
    </row>
    <row r="99" spans="1:14" s="224" customFormat="1">
      <c r="A99" s="214"/>
      <c r="B99" s="222" t="s">
        <v>456</v>
      </c>
      <c r="C99" s="214"/>
      <c r="D99" s="221">
        <v>0</v>
      </c>
      <c r="E99" s="222"/>
      <c r="G99" s="214"/>
      <c r="H99" s="221">
        <f t="shared" si="1"/>
        <v>0</v>
      </c>
      <c r="I99" s="225"/>
      <c r="N99" s="215"/>
    </row>
    <row r="100" spans="1:14" s="224" customFormat="1">
      <c r="A100" s="214"/>
      <c r="B100" s="222" t="s">
        <v>467</v>
      </c>
      <c r="C100" s="214"/>
      <c r="D100" s="221">
        <v>0</v>
      </c>
      <c r="E100" s="222"/>
      <c r="G100" s="214"/>
      <c r="H100" s="221">
        <f t="shared" si="1"/>
        <v>0</v>
      </c>
      <c r="I100" s="225"/>
      <c r="N100" s="215"/>
    </row>
    <row r="101" spans="1:14" s="224" customFormat="1">
      <c r="A101" s="214"/>
      <c r="B101" s="222" t="s">
        <v>469</v>
      </c>
      <c r="C101" s="214"/>
      <c r="D101" s="221">
        <v>0</v>
      </c>
      <c r="E101" s="222"/>
      <c r="G101" s="214"/>
      <c r="H101" s="221">
        <f t="shared" si="1"/>
        <v>0</v>
      </c>
      <c r="I101" s="225"/>
      <c r="N101" s="215"/>
    </row>
    <row r="102" spans="1:14" s="224" customFormat="1">
      <c r="A102" s="214"/>
      <c r="B102" s="222" t="s">
        <v>457</v>
      </c>
      <c r="C102" s="214"/>
      <c r="D102" s="221">
        <v>0</v>
      </c>
      <c r="E102" s="222"/>
      <c r="F102" s="217"/>
      <c r="G102" s="214"/>
      <c r="H102" s="221">
        <f t="shared" si="1"/>
        <v>0</v>
      </c>
      <c r="I102" s="225"/>
      <c r="N102" s="215"/>
    </row>
    <row r="103" spans="1:14" s="224" customFormat="1">
      <c r="A103" s="214"/>
      <c r="B103" s="222" t="s">
        <v>470</v>
      </c>
      <c r="C103" s="214"/>
      <c r="D103" s="221">
        <v>42274377.549999997</v>
      </c>
      <c r="E103" s="222"/>
      <c r="F103" s="217"/>
      <c r="G103" s="214"/>
      <c r="H103" s="221">
        <f t="shared" si="1"/>
        <v>42274377.549999997</v>
      </c>
      <c r="I103" s="225"/>
      <c r="N103" s="215"/>
    </row>
    <row r="104" spans="1:14" s="224" customFormat="1">
      <c r="A104" s="214"/>
      <c r="B104" s="222" t="s">
        <v>458</v>
      </c>
      <c r="C104" s="214"/>
      <c r="D104" s="221">
        <v>0</v>
      </c>
      <c r="E104" s="222"/>
      <c r="F104" s="217"/>
      <c r="G104" s="214"/>
      <c r="H104" s="221">
        <f t="shared" si="1"/>
        <v>0</v>
      </c>
      <c r="I104" s="225"/>
      <c r="N104" s="215"/>
    </row>
    <row r="105" spans="1:14" s="224" customFormat="1">
      <c r="A105" s="214"/>
      <c r="B105" s="222" t="s">
        <v>459</v>
      </c>
      <c r="C105" s="214"/>
      <c r="D105" s="221">
        <v>0</v>
      </c>
      <c r="E105" s="222"/>
      <c r="F105" s="217"/>
      <c r="G105" s="214"/>
      <c r="H105" s="221">
        <f t="shared" si="1"/>
        <v>0</v>
      </c>
      <c r="I105" s="225"/>
      <c r="N105" s="215"/>
    </row>
    <row r="106" spans="1:14" s="224" customFormat="1">
      <c r="A106" s="214"/>
      <c r="B106" s="222" t="s">
        <v>119</v>
      </c>
      <c r="C106" s="214"/>
      <c r="D106" s="221">
        <v>243002616.75999999</v>
      </c>
      <c r="E106" s="222"/>
      <c r="F106" s="217"/>
      <c r="G106" s="214"/>
      <c r="H106" s="221">
        <f t="shared" si="1"/>
        <v>243002616.75999999</v>
      </c>
      <c r="I106" s="225"/>
      <c r="N106" s="215"/>
    </row>
    <row r="107" spans="1:14" s="224" customFormat="1">
      <c r="A107" s="214"/>
      <c r="B107" s="222" t="s">
        <v>472</v>
      </c>
      <c r="C107" s="214"/>
      <c r="D107" s="221">
        <v>0</v>
      </c>
      <c r="E107" s="222"/>
      <c r="F107" s="217"/>
      <c r="G107" s="214"/>
      <c r="H107" s="221">
        <f t="shared" si="1"/>
        <v>0</v>
      </c>
      <c r="I107" s="225"/>
      <c r="N107" s="215"/>
    </row>
    <row r="108" spans="1:14" s="224" customFormat="1">
      <c r="A108" s="214"/>
      <c r="B108" s="222" t="s">
        <v>595</v>
      </c>
      <c r="C108" s="214"/>
      <c r="D108" s="221">
        <v>0</v>
      </c>
      <c r="E108" s="222"/>
      <c r="F108" s="217"/>
      <c r="G108" s="214"/>
      <c r="H108" s="221">
        <f t="shared" si="1"/>
        <v>0</v>
      </c>
      <c r="I108" s="225"/>
      <c r="N108" s="215"/>
    </row>
    <row r="109" spans="1:14" s="224" customFormat="1">
      <c r="A109" s="214"/>
      <c r="B109" s="222" t="s">
        <v>473</v>
      </c>
      <c r="C109" s="214"/>
      <c r="D109" s="221">
        <v>0</v>
      </c>
      <c r="E109" s="222"/>
      <c r="F109" s="217"/>
      <c r="G109" s="214"/>
      <c r="H109" s="221">
        <f t="shared" si="1"/>
        <v>0</v>
      </c>
      <c r="I109" s="225"/>
      <c r="N109" s="215"/>
    </row>
    <row r="110" spans="1:14" s="224" customFormat="1">
      <c r="A110" s="214"/>
      <c r="B110" s="222" t="s">
        <v>474</v>
      </c>
      <c r="C110" s="214"/>
      <c r="D110" s="221">
        <v>0</v>
      </c>
      <c r="E110" s="222"/>
      <c r="F110" s="217"/>
      <c r="G110" s="214"/>
      <c r="H110" s="221">
        <f t="shared" si="1"/>
        <v>0</v>
      </c>
      <c r="I110" s="225"/>
      <c r="N110" s="215"/>
    </row>
    <row r="111" spans="1:14" s="224" customFormat="1">
      <c r="A111" s="214"/>
      <c r="B111" s="222" t="s">
        <v>460</v>
      </c>
      <c r="C111" s="214"/>
      <c r="D111" s="221">
        <v>0</v>
      </c>
      <c r="E111" s="222"/>
      <c r="F111" s="217"/>
      <c r="G111" s="214"/>
      <c r="H111" s="221">
        <f t="shared" si="1"/>
        <v>0</v>
      </c>
      <c r="I111" s="225"/>
      <c r="N111" s="215"/>
    </row>
    <row r="112" spans="1:14" s="224" customFormat="1">
      <c r="A112" s="214"/>
      <c r="B112" s="222"/>
      <c r="C112" s="214"/>
      <c r="D112" s="221"/>
      <c r="E112" s="222"/>
      <c r="F112" s="217"/>
      <c r="G112" s="214"/>
      <c r="H112" s="221"/>
      <c r="I112" s="225"/>
      <c r="N112" s="215"/>
    </row>
    <row r="113" spans="1:14" s="224" customFormat="1">
      <c r="A113" s="214"/>
      <c r="B113" s="222" t="s">
        <v>462</v>
      </c>
      <c r="C113" s="214"/>
      <c r="D113" s="221">
        <v>0</v>
      </c>
      <c r="E113" s="222"/>
      <c r="F113" s="217"/>
      <c r="G113" s="214"/>
      <c r="H113" s="221">
        <f>D113</f>
        <v>0</v>
      </c>
      <c r="I113" s="225"/>
      <c r="N113" s="215"/>
    </row>
    <row r="114" spans="1:14" s="224" customFormat="1" ht="11.25" thickBot="1">
      <c r="A114" s="214"/>
      <c r="B114" s="214"/>
      <c r="C114" s="214"/>
      <c r="D114" s="223" t="s">
        <v>649</v>
      </c>
      <c r="E114" s="217" t="s">
        <v>645</v>
      </c>
      <c r="F114" s="223" t="s">
        <v>649</v>
      </c>
      <c r="G114" s="223" t="s">
        <v>649</v>
      </c>
      <c r="H114" s="223" t="s">
        <v>649</v>
      </c>
      <c r="I114" s="223" t="s">
        <v>649</v>
      </c>
      <c r="N114" s="215"/>
    </row>
    <row r="115" spans="1:14" s="224" customFormat="1" ht="11.25" thickBot="1">
      <c r="A115" s="214" t="s">
        <v>651</v>
      </c>
      <c r="B115" s="214"/>
      <c r="C115" s="214"/>
      <c r="D115" s="221">
        <f>SUM(D93:D113)</f>
        <v>343684144.44</v>
      </c>
      <c r="E115" s="222"/>
      <c r="F115" s="221">
        <f>SUM(F92:F113)</f>
        <v>0</v>
      </c>
      <c r="G115" s="221">
        <f>SUM(G92:G113)</f>
        <v>0</v>
      </c>
      <c r="H115" s="221">
        <f>SUM(H92:H113)</f>
        <v>343684144.44</v>
      </c>
      <c r="I115" s="221">
        <f>SUM(I92:I105)</f>
        <v>0</v>
      </c>
      <c r="K115" s="220">
        <v>0</v>
      </c>
      <c r="L115" s="219" t="s">
        <v>646</v>
      </c>
      <c r="M115" s="218">
        <f>D115-SUM(F115:I115)</f>
        <v>0</v>
      </c>
      <c r="N115" s="215"/>
    </row>
    <row r="116" spans="1:14" s="224" customFormat="1">
      <c r="A116" s="214"/>
      <c r="B116" s="214"/>
      <c r="C116" s="214"/>
      <c r="D116" s="226"/>
      <c r="E116" s="222"/>
      <c r="F116" s="222"/>
      <c r="G116" s="222"/>
      <c r="H116" s="222"/>
      <c r="I116" s="222"/>
      <c r="N116" s="215"/>
    </row>
    <row r="117" spans="1:14" s="224" customFormat="1">
      <c r="A117" s="214" t="s">
        <v>650</v>
      </c>
      <c r="B117" s="214"/>
      <c r="C117" s="214"/>
      <c r="D117" s="226"/>
      <c r="E117" s="222"/>
      <c r="F117" s="222"/>
      <c r="G117" s="222"/>
      <c r="H117" s="222"/>
      <c r="I117" s="222"/>
      <c r="N117" s="215"/>
    </row>
    <row r="118" spans="1:14" s="224" customFormat="1">
      <c r="A118" s="214"/>
      <c r="B118" s="222" t="s">
        <v>494</v>
      </c>
      <c r="C118" s="214"/>
      <c r="D118" s="221">
        <v>0</v>
      </c>
      <c r="E118" s="222"/>
      <c r="F118" s="217"/>
      <c r="G118" s="214"/>
      <c r="H118" s="221">
        <f>D118</f>
        <v>0</v>
      </c>
      <c r="I118" s="225"/>
      <c r="N118" s="215"/>
    </row>
    <row r="119" spans="1:14">
      <c r="D119" s="223" t="s">
        <v>649</v>
      </c>
      <c r="E119" s="217" t="s">
        <v>645</v>
      </c>
      <c r="F119" s="223" t="s">
        <v>649</v>
      </c>
      <c r="G119" s="223" t="s">
        <v>649</v>
      </c>
      <c r="H119" s="223" t="s">
        <v>649</v>
      </c>
      <c r="I119" s="223" t="s">
        <v>649</v>
      </c>
    </row>
    <row r="120" spans="1:14">
      <c r="A120" s="214" t="s">
        <v>648</v>
      </c>
      <c r="D120" s="221">
        <v>0</v>
      </c>
      <c r="E120" s="222"/>
      <c r="F120" s="221">
        <f>SUM(F118:F118)</f>
        <v>0</v>
      </c>
      <c r="G120" s="221">
        <f>SUM(G118:G118)</f>
        <v>0</v>
      </c>
      <c r="H120" s="221">
        <f>SUM(H118:H118)</f>
        <v>0</v>
      </c>
      <c r="I120" s="221">
        <f>SUM(I118:I118)</f>
        <v>0</v>
      </c>
    </row>
    <row r="121" spans="1:14" ht="11.25" thickBot="1">
      <c r="D121" s="216" t="s">
        <v>522</v>
      </c>
      <c r="E121" s="217" t="s">
        <v>645</v>
      </c>
      <c r="F121" s="216" t="s">
        <v>522</v>
      </c>
      <c r="G121" s="216" t="s">
        <v>522</v>
      </c>
      <c r="H121" s="216" t="s">
        <v>522</v>
      </c>
      <c r="I121" s="216" t="s">
        <v>522</v>
      </c>
    </row>
    <row r="122" spans="1:14" ht="11.25" thickBot="1">
      <c r="A122" s="214" t="s">
        <v>647</v>
      </c>
      <c r="D122" s="221">
        <f>D115+D90+D76+D120-D16</f>
        <v>550701664.84000003</v>
      </c>
      <c r="E122" s="222" t="s">
        <v>645</v>
      </c>
      <c r="F122" s="221">
        <f>F115+F90+F76+F120-F16</f>
        <v>25766517.477201276</v>
      </c>
      <c r="G122" s="221">
        <f>G115+G90+G76+G120-G16</f>
        <v>1850255.2986767283</v>
      </c>
      <c r="H122" s="221">
        <f>H115+H90+H76+H120-H16</f>
        <v>343684144.44</v>
      </c>
      <c r="I122" s="221">
        <f>I115+I90+I76+I120-I16</f>
        <v>179400747.62412196</v>
      </c>
      <c r="K122" s="220">
        <v>0</v>
      </c>
      <c r="L122" s="219" t="s">
        <v>646</v>
      </c>
      <c r="M122" s="218">
        <f>D122-SUM(F122:I122)</f>
        <v>0</v>
      </c>
    </row>
    <row r="123" spans="1:14">
      <c r="D123" s="216" t="s">
        <v>522</v>
      </c>
      <c r="E123" s="217" t="s">
        <v>645</v>
      </c>
      <c r="F123" s="216" t="s">
        <v>522</v>
      </c>
      <c r="G123" s="216" t="s">
        <v>522</v>
      </c>
      <c r="H123" s="216" t="s">
        <v>522</v>
      </c>
      <c r="I123" s="216" t="s">
        <v>522</v>
      </c>
    </row>
    <row r="126" spans="1:14">
      <c r="C126" s="214" t="s">
        <v>707</v>
      </c>
      <c r="D126" s="264">
        <f>D122-'GRID - NPC'!E313</f>
        <v>-1.666259765625E-2</v>
      </c>
    </row>
  </sheetData>
  <mergeCells count="1">
    <mergeCell ref="A4:C4"/>
  </mergeCells>
  <printOptions horizontalCentered="1"/>
  <pageMargins left="0.75" right="0.75" top="0.75" bottom="0.5" header="0.25" footer="0.25"/>
  <pageSetup scale="81" orientation="portrait" r:id="rId1"/>
  <headerFooter alignWithMargins="0">
    <oddFooter>&amp;L&amp;7Power Planning  &amp;D  &amp;T&amp;C&amp;7Page &amp;P &amp;R&amp;7&amp;F - &amp;A</oddFooter>
  </headerFooter>
  <rowBreaks count="1" manualBreakCount="1">
    <brk id="69" max="8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AG1264"/>
  <sheetViews>
    <sheetView zoomScale="70" zoomScaleNormal="70" workbookViewId="0">
      <pane xSplit="5" ySplit="4" topLeftCell="F269" activePane="bottomRight" state="frozen"/>
      <selection activeCell="H14" sqref="H14:I33"/>
      <selection pane="topRight" activeCell="H14" sqref="H14:I33"/>
      <selection pane="bottomLeft" activeCell="H14" sqref="H14:I33"/>
      <selection pane="bottomRight" activeCell="C341" sqref="C341"/>
    </sheetView>
  </sheetViews>
  <sheetFormatPr defaultColWidth="10.28515625" defaultRowHeight="12.75"/>
  <cols>
    <col min="1" max="1" width="3.42578125" style="41" customWidth="1"/>
    <col min="2" max="2" width="1.7109375" style="51" customWidth="1"/>
    <col min="3" max="3" width="29.28515625" style="52" customWidth="1"/>
    <col min="4" max="4" width="1.42578125" style="51" customWidth="1"/>
    <col min="5" max="5" width="16.42578125" style="51" bestFit="1" customWidth="1"/>
    <col min="6" max="6" width="13.42578125" style="51" customWidth="1"/>
    <col min="7" max="17" width="13.140625" style="51" customWidth="1"/>
    <col min="18" max="18" width="2.7109375" style="53" customWidth="1"/>
    <col min="19" max="19" width="8.85546875" style="51" hidden="1" customWidth="1"/>
    <col min="20" max="20" width="2.7109375" style="54" hidden="1" customWidth="1"/>
    <col min="21" max="21" width="5.7109375" style="51" hidden="1" customWidth="1"/>
    <col min="22" max="22" width="13.28515625" style="51" hidden="1" customWidth="1"/>
    <col min="23" max="23" width="7.7109375" style="51" hidden="1" customWidth="1"/>
    <col min="24" max="24" width="11.85546875" style="51" hidden="1" customWidth="1"/>
    <col min="25" max="25" width="8.28515625" style="51" hidden="1" customWidth="1"/>
    <col min="26" max="26" width="11.28515625" style="51" hidden="1" customWidth="1"/>
    <col min="27" max="27" width="5.7109375" style="51" hidden="1" customWidth="1"/>
    <col min="28" max="28" width="10.28515625" style="51" hidden="1" customWidth="1"/>
    <col min="29" max="29" width="5.7109375" style="51" hidden="1" customWidth="1"/>
    <col min="30" max="32" width="10.28515625" style="51" hidden="1" customWidth="1"/>
    <col min="33" max="33" width="10" style="51" hidden="1" customWidth="1"/>
    <col min="34" max="16384" width="10.28515625" style="51"/>
  </cols>
  <sheetData>
    <row r="1" spans="1:33" s="41" customFormat="1" ht="26.25">
      <c r="A1" s="41" t="s">
        <v>0</v>
      </c>
      <c r="C1" s="42"/>
      <c r="J1" s="43" t="s">
        <v>639</v>
      </c>
      <c r="P1" s="44"/>
      <c r="Q1" s="45"/>
      <c r="R1" s="46"/>
      <c r="S1" s="41" t="e">
        <f>AND(S9:S637)</f>
        <v>#REF!</v>
      </c>
      <c r="T1" s="46"/>
    </row>
    <row r="2" spans="1:33" s="41" customFormat="1">
      <c r="C2" s="42"/>
      <c r="J2" s="47" t="s">
        <v>48</v>
      </c>
      <c r="R2" s="46"/>
      <c r="T2" s="46"/>
      <c r="AG2" s="47" t="s">
        <v>49</v>
      </c>
    </row>
    <row r="3" spans="1:33" s="41" customFormat="1">
      <c r="A3" s="48" t="str">
        <f>"12 months ended "&amp;TEXT(Q3,"MMMM YYYY")</f>
        <v>12 months ended March 2016</v>
      </c>
      <c r="C3" s="42"/>
      <c r="E3" s="49" t="str">
        <f>TEXT(F3,"mm/yy")&amp;"-"&amp;TEXT(Q3,"mm/yy")</f>
        <v>04/15-03/16</v>
      </c>
      <c r="F3" s="50">
        <v>42095</v>
      </c>
      <c r="G3" s="50">
        <f t="shared" ref="G3:Q3" si="0">DATE(YEAR(F3),MONTH(F3)+1,1)</f>
        <v>42125</v>
      </c>
      <c r="H3" s="50">
        <f t="shared" si="0"/>
        <v>42156</v>
      </c>
      <c r="I3" s="50">
        <f t="shared" si="0"/>
        <v>42186</v>
      </c>
      <c r="J3" s="50">
        <f t="shared" si="0"/>
        <v>42217</v>
      </c>
      <c r="K3" s="50">
        <f t="shared" si="0"/>
        <v>42248</v>
      </c>
      <c r="L3" s="50">
        <f t="shared" si="0"/>
        <v>42278</v>
      </c>
      <c r="M3" s="50">
        <f t="shared" si="0"/>
        <v>42309</v>
      </c>
      <c r="N3" s="50">
        <f t="shared" si="0"/>
        <v>42339</v>
      </c>
      <c r="O3" s="50">
        <f t="shared" si="0"/>
        <v>42370</v>
      </c>
      <c r="P3" s="50">
        <f t="shared" si="0"/>
        <v>42401</v>
      </c>
      <c r="Q3" s="50">
        <f t="shared" si="0"/>
        <v>42430</v>
      </c>
      <c r="R3" s="46"/>
      <c r="T3" s="46"/>
      <c r="AG3" s="47" t="s">
        <v>50</v>
      </c>
    </row>
    <row r="4" spans="1:33">
      <c r="A4" s="48"/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33" ht="15.75">
      <c r="J5" s="55" t="str">
        <f>"$"</f>
        <v>$</v>
      </c>
    </row>
    <row r="6" spans="1:33" s="41" customFormat="1">
      <c r="C6" s="42"/>
      <c r="R6" s="53"/>
      <c r="T6" s="54"/>
    </row>
    <row r="7" spans="1:33" ht="15.75">
      <c r="A7" s="56" t="s">
        <v>51</v>
      </c>
    </row>
    <row r="8" spans="1:33">
      <c r="B8" s="51" t="s">
        <v>52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U8" s="41" t="s">
        <v>53</v>
      </c>
      <c r="AC8" s="41" t="s">
        <v>54</v>
      </c>
    </row>
    <row r="9" spans="1:33">
      <c r="C9" s="58" t="s">
        <v>55</v>
      </c>
      <c r="E9" s="59">
        <f t="shared" ref="E9:E16" si="1">SUM(F9:Q9)</f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S9" s="51" t="b">
        <f t="shared" ref="S9:S23" si="2">C337=C9</f>
        <v>1</v>
      </c>
      <c r="U9" s="60" t="e">
        <v>#N/A</v>
      </c>
      <c r="V9" s="51" t="s">
        <v>56</v>
      </c>
      <c r="W9" s="60" t="e">
        <v>#N/A</v>
      </c>
      <c r="X9" s="51" t="s">
        <v>57</v>
      </c>
      <c r="Y9" s="60"/>
      <c r="AA9" s="60"/>
      <c r="AC9" s="61"/>
      <c r="AG9" s="62" t="str">
        <f t="shared" ref="AG9:AG28" si="3">IF(OR(ISNUMBER(U9),ISNUMBER(W9),ISNUMBER(Y9),ISNUMBER(AA9),ISNUMBER(AC9)),"","Hide Row")</f>
        <v>Hide Row</v>
      </c>
    </row>
    <row r="10" spans="1:33">
      <c r="C10" s="58" t="s">
        <v>58</v>
      </c>
      <c r="E10" s="59">
        <f t="shared" si="1"/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S10" s="51" t="b">
        <f t="shared" si="2"/>
        <v>1</v>
      </c>
      <c r="U10" s="60" t="e">
        <v>#N/A</v>
      </c>
      <c r="V10" s="51" t="s">
        <v>59</v>
      </c>
      <c r="W10" s="60"/>
      <c r="Y10" s="60"/>
      <c r="AA10" s="60"/>
      <c r="AC10" s="60"/>
      <c r="AG10" s="62" t="str">
        <f t="shared" si="3"/>
        <v>Hide Row</v>
      </c>
    </row>
    <row r="11" spans="1:33">
      <c r="C11" s="58" t="s">
        <v>60</v>
      </c>
      <c r="E11" s="59">
        <f t="shared" si="1"/>
        <v>48376416.166000001</v>
      </c>
      <c r="F11" s="59">
        <v>5991771</v>
      </c>
      <c r="G11" s="59">
        <v>6204261</v>
      </c>
      <c r="H11" s="59">
        <v>7922831.5</v>
      </c>
      <c r="I11" s="59">
        <v>9547946</v>
      </c>
      <c r="J11" s="59">
        <v>7733749</v>
      </c>
      <c r="K11" s="59">
        <v>2128715.5</v>
      </c>
      <c r="L11" s="59">
        <v>3751457.5</v>
      </c>
      <c r="M11" s="59">
        <v>121138.766</v>
      </c>
      <c r="N11" s="59">
        <v>0</v>
      </c>
      <c r="O11" s="59">
        <v>0</v>
      </c>
      <c r="P11" s="59">
        <v>1168967.3999999999</v>
      </c>
      <c r="Q11" s="59">
        <v>3805578.5</v>
      </c>
      <c r="S11" s="51" t="b">
        <f t="shared" si="2"/>
        <v>1</v>
      </c>
      <c r="U11" s="60">
        <v>6</v>
      </c>
      <c r="V11" s="53" t="s">
        <v>61</v>
      </c>
      <c r="W11" s="60"/>
      <c r="Y11" s="60"/>
      <c r="AA11" s="60"/>
      <c r="AC11" s="60"/>
      <c r="AG11" s="62" t="str">
        <f t="shared" si="3"/>
        <v/>
      </c>
    </row>
    <row r="12" spans="1:33">
      <c r="C12" s="58" t="s">
        <v>62</v>
      </c>
      <c r="E12" s="59">
        <f t="shared" si="1"/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S12" s="51" t="b">
        <f t="shared" si="2"/>
        <v>1</v>
      </c>
      <c r="U12" s="60" t="e">
        <v>#N/A</v>
      </c>
      <c r="V12" s="51" t="s">
        <v>63</v>
      </c>
      <c r="W12" s="60"/>
      <c r="Y12" s="60"/>
      <c r="AA12" s="60"/>
      <c r="AC12" s="60"/>
      <c r="AG12" s="62" t="str">
        <f t="shared" si="3"/>
        <v>Hide Row</v>
      </c>
    </row>
    <row r="13" spans="1:33">
      <c r="C13" s="58" t="s">
        <v>64</v>
      </c>
      <c r="E13" s="59">
        <f t="shared" si="1"/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S13" s="51" t="b">
        <f t="shared" si="2"/>
        <v>1</v>
      </c>
      <c r="U13" s="60" t="e">
        <v>#N/A</v>
      </c>
      <c r="V13" s="51" t="s">
        <v>65</v>
      </c>
      <c r="W13" s="60"/>
      <c r="Y13" s="60"/>
      <c r="AA13" s="60"/>
      <c r="AC13" s="60"/>
      <c r="AG13" s="62" t="str">
        <f t="shared" si="3"/>
        <v>Hide Row</v>
      </c>
    </row>
    <row r="14" spans="1:33">
      <c r="C14" s="58" t="s">
        <v>66</v>
      </c>
      <c r="E14" s="59">
        <f>SUM(F14:Q14)</f>
        <v>118434.0573</v>
      </c>
      <c r="F14" s="59">
        <v>7536.0722999999998</v>
      </c>
      <c r="G14" s="59">
        <v>8983.1830000000009</v>
      </c>
      <c r="H14" s="59">
        <v>8589.1560000000009</v>
      </c>
      <c r="I14" s="59">
        <v>13660.672</v>
      </c>
      <c r="J14" s="59">
        <v>13335.509</v>
      </c>
      <c r="K14" s="59">
        <v>11296.483</v>
      </c>
      <c r="L14" s="59">
        <v>10083.009</v>
      </c>
      <c r="M14" s="59">
        <v>7875.9830000000002</v>
      </c>
      <c r="N14" s="59">
        <v>8744.5169999999998</v>
      </c>
      <c r="O14" s="59">
        <v>7889.1143000000002</v>
      </c>
      <c r="P14" s="59">
        <v>8153.8456999999999</v>
      </c>
      <c r="Q14" s="59">
        <v>12286.513000000001</v>
      </c>
      <c r="S14" s="51" t="b">
        <f t="shared" si="2"/>
        <v>1</v>
      </c>
      <c r="U14" s="60">
        <v>20</v>
      </c>
      <c r="V14" s="51" t="s">
        <v>66</v>
      </c>
      <c r="W14" s="60"/>
      <c r="Y14" s="60"/>
      <c r="AA14" s="60"/>
      <c r="AC14" s="60"/>
      <c r="AG14" s="62" t="str">
        <f t="shared" si="3"/>
        <v/>
      </c>
    </row>
    <row r="15" spans="1:33">
      <c r="C15" s="58" t="s">
        <v>67</v>
      </c>
      <c r="E15" s="59">
        <f>SUM(F15:Q15)</f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S15" s="51" t="b">
        <f t="shared" si="2"/>
        <v>1</v>
      </c>
      <c r="U15" s="60" t="e">
        <v>#N/A</v>
      </c>
      <c r="V15" s="58" t="s">
        <v>67</v>
      </c>
      <c r="W15" s="60"/>
      <c r="Y15" s="60"/>
      <c r="AA15" s="60"/>
      <c r="AC15" s="60"/>
      <c r="AG15" s="62" t="str">
        <f t="shared" si="3"/>
        <v>Hide Row</v>
      </c>
    </row>
    <row r="16" spans="1:33">
      <c r="C16" s="58" t="s">
        <v>68</v>
      </c>
      <c r="E16" s="59">
        <f t="shared" si="1"/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S16" s="51" t="b">
        <f t="shared" si="2"/>
        <v>1</v>
      </c>
      <c r="U16" s="60" t="e">
        <v>#N/A</v>
      </c>
      <c r="V16" s="58" t="s">
        <v>69</v>
      </c>
      <c r="W16" s="60" t="e">
        <v>#N/A</v>
      </c>
      <c r="Y16" s="60"/>
      <c r="AA16" s="60"/>
      <c r="AC16" s="60"/>
      <c r="AG16" s="62" t="str">
        <f t="shared" si="3"/>
        <v>Hide Row</v>
      </c>
    </row>
    <row r="17" spans="2:33">
      <c r="C17" s="58" t="s">
        <v>70</v>
      </c>
      <c r="E17" s="59">
        <f t="shared" ref="E17:E23" si="4">SUM(F17:Q17)</f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S17" s="51" t="b">
        <f t="shared" si="2"/>
        <v>1</v>
      </c>
      <c r="U17" s="60" t="e">
        <v>#N/A</v>
      </c>
      <c r="V17" s="51" t="s">
        <v>71</v>
      </c>
      <c r="W17" s="60" t="e">
        <v>#N/A</v>
      </c>
      <c r="X17" s="51" t="s">
        <v>72</v>
      </c>
      <c r="Y17" s="60"/>
      <c r="AA17" s="60"/>
      <c r="AC17" s="60"/>
      <c r="AG17" s="62" t="str">
        <f t="shared" si="3"/>
        <v>Hide Row</v>
      </c>
    </row>
    <row r="18" spans="2:33">
      <c r="C18" s="58" t="s">
        <v>73</v>
      </c>
      <c r="E18" s="59">
        <f t="shared" si="4"/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S18" s="51" t="b">
        <f t="shared" si="2"/>
        <v>1</v>
      </c>
      <c r="U18" s="60" t="e">
        <v>#N/A</v>
      </c>
      <c r="V18" s="51" t="s">
        <v>74</v>
      </c>
      <c r="W18" s="60"/>
      <c r="Y18" s="60"/>
      <c r="AA18" s="60"/>
      <c r="AC18" s="60"/>
      <c r="AG18" s="62" t="str">
        <f t="shared" si="3"/>
        <v>Hide Row</v>
      </c>
    </row>
    <row r="19" spans="2:33">
      <c r="C19" s="58" t="s">
        <v>75</v>
      </c>
      <c r="E19" s="59">
        <f>SUM(F19:Q19)</f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S19" s="51" t="b">
        <f t="shared" si="2"/>
        <v>1</v>
      </c>
      <c r="U19" s="60" t="e">
        <v>#N/A</v>
      </c>
      <c r="V19" s="58" t="s">
        <v>75</v>
      </c>
      <c r="W19" s="60"/>
      <c r="Y19" s="60"/>
      <c r="AA19" s="60"/>
      <c r="AC19" s="60"/>
      <c r="AG19" s="62" t="str">
        <f t="shared" si="3"/>
        <v>Hide Row</v>
      </c>
    </row>
    <row r="20" spans="2:33">
      <c r="C20" s="58" t="s">
        <v>76</v>
      </c>
      <c r="E20" s="59">
        <f>SUM(F20:Q20)</f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S20" s="51" t="b">
        <f t="shared" si="2"/>
        <v>1</v>
      </c>
      <c r="U20" s="60" t="e">
        <v>#N/A</v>
      </c>
      <c r="V20" s="51" t="s">
        <v>77</v>
      </c>
      <c r="W20" s="60"/>
      <c r="Y20" s="60"/>
      <c r="AA20" s="60"/>
      <c r="AC20" s="60"/>
      <c r="AG20" s="62" t="str">
        <f t="shared" si="3"/>
        <v>Hide Row</v>
      </c>
    </row>
    <row r="21" spans="2:33">
      <c r="C21" s="58" t="s">
        <v>78</v>
      </c>
      <c r="E21" s="59">
        <f>SUM(F21:Q21)</f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S21" s="51" t="b">
        <f t="shared" si="2"/>
        <v>1</v>
      </c>
      <c r="U21" s="60" t="e">
        <v>#N/A</v>
      </c>
      <c r="V21" s="51" t="s">
        <v>78</v>
      </c>
      <c r="W21" s="60"/>
      <c r="Y21" s="60"/>
      <c r="AA21" s="60"/>
      <c r="AC21" s="60"/>
      <c r="AG21" s="62" t="str">
        <f t="shared" si="3"/>
        <v>Hide Row</v>
      </c>
    </row>
    <row r="22" spans="2:33">
      <c r="C22" s="58" t="s">
        <v>79</v>
      </c>
      <c r="E22" s="59">
        <f t="shared" si="4"/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S22" s="51" t="b">
        <f t="shared" si="2"/>
        <v>1</v>
      </c>
      <c r="U22" s="60" t="e">
        <v>#N/A</v>
      </c>
      <c r="V22" s="51" t="s">
        <v>80</v>
      </c>
      <c r="W22" s="60" t="e">
        <v>#N/A</v>
      </c>
      <c r="X22" s="51" t="s">
        <v>81</v>
      </c>
      <c r="Y22" s="60" t="e">
        <v>#N/A</v>
      </c>
      <c r="Z22" s="51" t="s">
        <v>82</v>
      </c>
      <c r="AA22" s="60" t="e">
        <v>#N/A</v>
      </c>
      <c r="AB22" s="51" t="s">
        <v>83</v>
      </c>
      <c r="AC22" s="63" t="s">
        <v>84</v>
      </c>
      <c r="AG22" s="62" t="str">
        <f t="shared" si="3"/>
        <v>Hide Row</v>
      </c>
    </row>
    <row r="23" spans="2:33" hidden="1">
      <c r="C23" s="58" t="s">
        <v>85</v>
      </c>
      <c r="D23" s="64"/>
      <c r="E23" s="59">
        <f t="shared" si="4"/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S23" s="51" t="b">
        <f t="shared" si="2"/>
        <v>1</v>
      </c>
      <c r="U23" s="60" t="e">
        <v>#N/A</v>
      </c>
      <c r="V23" s="51" t="s">
        <v>85</v>
      </c>
      <c r="W23" s="60"/>
      <c r="Y23" s="60"/>
      <c r="AA23" s="60"/>
      <c r="AC23" s="60"/>
      <c r="AG23" s="62" t="str">
        <f t="shared" si="3"/>
        <v>Hide Row</v>
      </c>
    </row>
    <row r="24" spans="2:33" hidden="1">
      <c r="C24" s="58"/>
      <c r="D24" s="6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U24" s="60"/>
      <c r="W24" s="60"/>
      <c r="Y24" s="60"/>
      <c r="AA24" s="60"/>
      <c r="AC24" s="60"/>
      <c r="AG24" s="62" t="str">
        <f t="shared" si="3"/>
        <v>Hide Row</v>
      </c>
    </row>
    <row r="25" spans="2:33" hidden="1">
      <c r="C25" s="58"/>
      <c r="D25" s="64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U25" s="60"/>
      <c r="W25" s="60"/>
      <c r="Y25" s="60"/>
      <c r="AA25" s="60"/>
      <c r="AC25" s="60"/>
      <c r="AG25" s="62" t="str">
        <f t="shared" si="3"/>
        <v>Hide Row</v>
      </c>
    </row>
    <row r="26" spans="2:33" hidden="1">
      <c r="C26" s="58"/>
      <c r="D26" s="64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U26" s="60"/>
      <c r="W26" s="60"/>
      <c r="Y26" s="60"/>
      <c r="AA26" s="60"/>
      <c r="AC26" s="60"/>
      <c r="AG26" s="62" t="str">
        <f t="shared" si="3"/>
        <v>Hide Row</v>
      </c>
    </row>
    <row r="27" spans="2:33" hidden="1">
      <c r="C27" s="58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U27" s="60"/>
      <c r="W27" s="60"/>
      <c r="Y27" s="60"/>
      <c r="AA27" s="60"/>
      <c r="AC27" s="60"/>
      <c r="AG27" s="62" t="str">
        <f t="shared" si="3"/>
        <v>Hide Row</v>
      </c>
    </row>
    <row r="28" spans="2:33">
      <c r="C28" s="58" t="s">
        <v>86</v>
      </c>
      <c r="D28" s="64"/>
      <c r="E28" s="65">
        <f>SUM(F28:Q28)</f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S28" s="51" t="b">
        <f>C356=C28</f>
        <v>1</v>
      </c>
      <c r="U28" s="60" t="e">
        <v>#N/A</v>
      </c>
      <c r="V28" s="51" t="s">
        <v>87</v>
      </c>
      <c r="W28" s="60"/>
      <c r="Y28" s="60"/>
      <c r="AA28" s="60"/>
      <c r="AC28" s="60"/>
      <c r="AG28" s="62" t="str">
        <f t="shared" si="3"/>
        <v>Hide Row</v>
      </c>
    </row>
    <row r="29" spans="2:33">
      <c r="C29" s="58"/>
      <c r="D29" s="64"/>
      <c r="E29" s="65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2:33">
      <c r="B30" s="51" t="str">
        <f>"Total "&amp;B8</f>
        <v>Total Long Term Firm Sales</v>
      </c>
      <c r="E30" s="59">
        <f>SUM(F30:Q30)</f>
        <v>48494850.223299995</v>
      </c>
      <c r="F30" s="66">
        <f t="shared" ref="F30:Q30" si="5">SUM(F9:F29)</f>
        <v>5999307.0723000001</v>
      </c>
      <c r="G30" s="66">
        <f t="shared" si="5"/>
        <v>6213244.1830000002</v>
      </c>
      <c r="H30" s="66">
        <f t="shared" si="5"/>
        <v>7931420.6560000004</v>
      </c>
      <c r="I30" s="66">
        <f t="shared" si="5"/>
        <v>9561606.6720000003</v>
      </c>
      <c r="J30" s="66">
        <f t="shared" si="5"/>
        <v>7747084.5089999996</v>
      </c>
      <c r="K30" s="66">
        <f t="shared" si="5"/>
        <v>2140011.983</v>
      </c>
      <c r="L30" s="66">
        <f t="shared" si="5"/>
        <v>3761540.5090000001</v>
      </c>
      <c r="M30" s="66">
        <f t="shared" si="5"/>
        <v>129014.74900000001</v>
      </c>
      <c r="N30" s="66">
        <f t="shared" si="5"/>
        <v>8744.5169999999998</v>
      </c>
      <c r="O30" s="66">
        <f t="shared" si="5"/>
        <v>7889.1143000000002</v>
      </c>
      <c r="P30" s="66">
        <f t="shared" si="5"/>
        <v>1177121.2456999999</v>
      </c>
      <c r="Q30" s="66">
        <f t="shared" si="5"/>
        <v>3817865.0129999998</v>
      </c>
    </row>
    <row r="31" spans="2:33"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T31" s="51"/>
    </row>
    <row r="32" spans="2:33">
      <c r="B32" s="51" t="s">
        <v>88</v>
      </c>
      <c r="E32" s="67"/>
      <c r="F32" s="67"/>
      <c r="G32" s="59"/>
      <c r="H32" s="67"/>
      <c r="I32" s="68"/>
      <c r="J32" s="66"/>
      <c r="K32" s="66"/>
      <c r="L32" s="66"/>
      <c r="M32" s="66"/>
      <c r="N32" s="66"/>
      <c r="O32" s="66"/>
      <c r="P32" s="66"/>
      <c r="Q32" s="66"/>
      <c r="U32" s="41" t="s">
        <v>89</v>
      </c>
    </row>
    <row r="33" spans="1:33">
      <c r="C33" s="52" t="s">
        <v>90</v>
      </c>
      <c r="E33" s="59">
        <f t="shared" ref="E33:E46" si="6">SUM(F33:Q33)</f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S33" s="51" t="b">
        <f t="shared" ref="S33:S46" si="7">C361=C33</f>
        <v>1</v>
      </c>
      <c r="U33" s="60" t="e">
        <v>#N/A</v>
      </c>
      <c r="V33" s="51" t="s">
        <v>90</v>
      </c>
      <c r="W33" s="60"/>
      <c r="Y33" s="60"/>
      <c r="Z33" s="54"/>
      <c r="AA33" s="60"/>
      <c r="AC33" s="60"/>
      <c r="AG33" s="62" t="str">
        <f>IF(OR(ISNUMBER(U33),ISNUMBER(W33),ISNUMBER(Y33),ISNUMBER(AA33),ISNUMBER(Y54)),"","Hide Row")</f>
        <v>Hide Row</v>
      </c>
    </row>
    <row r="34" spans="1:33">
      <c r="C34" s="52" t="s">
        <v>91</v>
      </c>
      <c r="E34" s="59">
        <f t="shared" si="6"/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S34" s="51" t="b">
        <f t="shared" si="7"/>
        <v>1</v>
      </c>
      <c r="U34" s="60" t="e">
        <v>#N/A</v>
      </c>
      <c r="V34" s="51" t="s">
        <v>91</v>
      </c>
      <c r="W34" s="60"/>
      <c r="Y34" s="60" t="e">
        <v>#N/A</v>
      </c>
      <c r="Z34" s="51" t="s">
        <v>92</v>
      </c>
      <c r="AA34" s="60"/>
      <c r="AC34" s="60"/>
      <c r="AG34" s="62" t="str">
        <f t="shared" ref="AG34:AG49" si="8">IF(OR(ISNUMBER(U34),ISNUMBER(W34),ISNUMBER(Y34),ISNUMBER(AA34),ISNUMBER(Y55)),"","Hide Row")</f>
        <v>Hide Row</v>
      </c>
    </row>
    <row r="35" spans="1:33">
      <c r="C35" s="52" t="s">
        <v>93</v>
      </c>
      <c r="E35" s="59">
        <f t="shared" si="6"/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S35" s="51" t="b">
        <f t="shared" si="7"/>
        <v>1</v>
      </c>
      <c r="U35" s="60" t="e">
        <v>#N/A</v>
      </c>
      <c r="V35" s="51" t="s">
        <v>93</v>
      </c>
      <c r="W35" s="60"/>
      <c r="X35" s="54"/>
      <c r="Y35" s="60" t="e">
        <v>#N/A</v>
      </c>
      <c r="Z35" s="51" t="s">
        <v>94</v>
      </c>
      <c r="AA35" s="60"/>
      <c r="AC35" s="60"/>
      <c r="AG35" s="62" t="str">
        <f t="shared" si="8"/>
        <v>Hide Row</v>
      </c>
    </row>
    <row r="36" spans="1:33">
      <c r="C36" s="52" t="s">
        <v>95</v>
      </c>
      <c r="D36" s="69"/>
      <c r="E36" s="59">
        <f t="shared" si="6"/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S36" s="51" t="b">
        <f t="shared" si="7"/>
        <v>1</v>
      </c>
      <c r="U36" s="60" t="e">
        <v>#N/A</v>
      </c>
      <c r="V36" s="51" t="s">
        <v>96</v>
      </c>
      <c r="W36" s="60" t="e">
        <v>#N/A</v>
      </c>
      <c r="X36" s="51" t="s">
        <v>97</v>
      </c>
      <c r="Y36" s="60" t="e">
        <v>#N/A</v>
      </c>
      <c r="Z36" s="51" t="s">
        <v>98</v>
      </c>
      <c r="AA36" s="60" t="e">
        <v>#N/A</v>
      </c>
      <c r="AB36" s="51" t="s">
        <v>95</v>
      </c>
      <c r="AC36" s="60" t="e">
        <v>#N/A</v>
      </c>
      <c r="AD36" s="51" t="s">
        <v>99</v>
      </c>
      <c r="AG36" s="62" t="str">
        <f t="shared" si="8"/>
        <v>Hide Row</v>
      </c>
    </row>
    <row r="37" spans="1:33">
      <c r="C37" s="52" t="s">
        <v>100</v>
      </c>
      <c r="D37" s="69"/>
      <c r="E37" s="59">
        <f t="shared" ref="E37" si="9">SUM(F37:Q37)</f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S37" s="51" t="b">
        <f t="shared" si="7"/>
        <v>1</v>
      </c>
      <c r="U37" s="60" t="e">
        <v>#N/A</v>
      </c>
      <c r="V37" s="52" t="s">
        <v>100</v>
      </c>
      <c r="W37" s="60" t="e">
        <v>#N/A</v>
      </c>
      <c r="Y37" s="60" t="e">
        <v>#N/A</v>
      </c>
      <c r="AA37" s="60"/>
      <c r="AC37" s="60"/>
      <c r="AG37" s="62" t="str">
        <f t="shared" si="8"/>
        <v>Hide Row</v>
      </c>
    </row>
    <row r="38" spans="1:33">
      <c r="C38" s="52" t="s">
        <v>101</v>
      </c>
      <c r="E38" s="59">
        <f t="shared" si="6"/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S38" s="51" t="b">
        <f t="shared" si="7"/>
        <v>1</v>
      </c>
      <c r="U38" s="60">
        <v>1</v>
      </c>
      <c r="V38" s="51" t="s">
        <v>101</v>
      </c>
      <c r="W38" s="60"/>
      <c r="X38" s="54"/>
      <c r="Y38" s="60" t="e">
        <v>#N/A</v>
      </c>
      <c r="Z38" s="51" t="s">
        <v>102</v>
      </c>
      <c r="AA38" s="60"/>
      <c r="AC38" s="60"/>
      <c r="AG38" s="62" t="str">
        <f t="shared" si="8"/>
        <v/>
      </c>
    </row>
    <row r="39" spans="1:33">
      <c r="C39" s="52" t="s">
        <v>103</v>
      </c>
      <c r="E39" s="59">
        <f t="shared" si="6"/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S39" s="51" t="b">
        <f t="shared" si="7"/>
        <v>1</v>
      </c>
      <c r="U39" s="60" t="e">
        <v>#N/A</v>
      </c>
      <c r="V39" s="51" t="s">
        <v>103</v>
      </c>
      <c r="W39" s="60"/>
      <c r="X39" s="54"/>
      <c r="Y39" s="60"/>
      <c r="Z39" s="54"/>
      <c r="AA39" s="60"/>
      <c r="AC39" s="60"/>
      <c r="AG39" s="62" t="str">
        <f t="shared" si="8"/>
        <v>Hide Row</v>
      </c>
    </row>
    <row r="40" spans="1:33">
      <c r="C40" s="52" t="s">
        <v>104</v>
      </c>
      <c r="E40" s="59">
        <f t="shared" ref="E40" si="10">SUM(F40:Q40)</f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S40" s="51" t="b">
        <f t="shared" si="7"/>
        <v>1</v>
      </c>
      <c r="U40" s="60" t="e">
        <v>#N/A</v>
      </c>
      <c r="V40" s="51" t="s">
        <v>104</v>
      </c>
      <c r="W40" s="60"/>
      <c r="X40" s="54"/>
      <c r="Y40" s="60"/>
      <c r="Z40" s="54"/>
      <c r="AA40" s="60"/>
      <c r="AC40" s="60"/>
      <c r="AG40" s="62" t="str">
        <f t="shared" si="8"/>
        <v>Hide Row</v>
      </c>
    </row>
    <row r="41" spans="1:33">
      <c r="C41" s="52" t="s">
        <v>105</v>
      </c>
      <c r="E41" s="59">
        <f t="shared" si="6"/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S41" s="51" t="b">
        <f t="shared" si="7"/>
        <v>1</v>
      </c>
      <c r="U41" s="60" t="e">
        <v>#N/A</v>
      </c>
      <c r="V41" s="51" t="s">
        <v>105</v>
      </c>
      <c r="W41" s="60" t="e">
        <v>#N/A</v>
      </c>
      <c r="X41" s="51" t="s">
        <v>106</v>
      </c>
      <c r="Y41" s="60" t="e">
        <v>#N/A</v>
      </c>
      <c r="Z41" s="51" t="s">
        <v>107</v>
      </c>
      <c r="AA41" s="60"/>
      <c r="AC41" s="60"/>
      <c r="AG41" s="62" t="str">
        <f t="shared" si="8"/>
        <v>Hide Row</v>
      </c>
    </row>
    <row r="42" spans="1:33">
      <c r="C42" s="52" t="s">
        <v>108</v>
      </c>
      <c r="E42" s="59">
        <f t="shared" si="6"/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S42" s="51" t="b">
        <f t="shared" si="7"/>
        <v>1</v>
      </c>
      <c r="U42" s="60" t="e">
        <v>#N/A</v>
      </c>
      <c r="V42" s="51" t="s">
        <v>108</v>
      </c>
      <c r="W42" s="60"/>
      <c r="X42" s="54"/>
      <c r="Y42" s="60"/>
      <c r="Z42" s="54"/>
      <c r="AA42" s="60"/>
      <c r="AC42" s="60"/>
      <c r="AG42" s="62" t="str">
        <f t="shared" si="8"/>
        <v>Hide Row</v>
      </c>
    </row>
    <row r="43" spans="1:33">
      <c r="C43" s="52" t="s">
        <v>109</v>
      </c>
      <c r="E43" s="59">
        <f t="shared" si="6"/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S43" s="51" t="b">
        <f t="shared" si="7"/>
        <v>1</v>
      </c>
      <c r="U43" s="60" t="e">
        <v>#N/A</v>
      </c>
      <c r="V43" s="51" t="s">
        <v>110</v>
      </c>
      <c r="W43" s="60" t="e">
        <v>#N/A</v>
      </c>
      <c r="X43" s="51" t="s">
        <v>111</v>
      </c>
      <c r="Y43" s="60" t="e">
        <v>#N/A</v>
      </c>
      <c r="Z43" s="51" t="s">
        <v>112</v>
      </c>
      <c r="AA43" s="60"/>
      <c r="AC43" s="60"/>
      <c r="AD43" s="70" t="s">
        <v>113</v>
      </c>
      <c r="AG43" s="62" t="str">
        <f t="shared" si="8"/>
        <v>Hide Row</v>
      </c>
    </row>
    <row r="44" spans="1:33">
      <c r="C44" s="52" t="s">
        <v>10</v>
      </c>
      <c r="E44" s="59">
        <f t="shared" si="6"/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S44" s="51" t="b">
        <f t="shared" si="7"/>
        <v>1</v>
      </c>
      <c r="U44" s="60" t="e">
        <v>#N/A</v>
      </c>
      <c r="V44" s="51" t="s">
        <v>114</v>
      </c>
      <c r="W44" s="60" t="e">
        <v>#N/A</v>
      </c>
      <c r="X44" s="54" t="s">
        <v>115</v>
      </c>
      <c r="Y44" s="60" t="e">
        <v>#N/A</v>
      </c>
      <c r="Z44" s="52" t="s">
        <v>116</v>
      </c>
      <c r="AA44" s="60"/>
      <c r="AC44" s="60"/>
      <c r="AD44" s="70" t="s">
        <v>117</v>
      </c>
      <c r="AG44" s="62" t="str">
        <f t="shared" si="8"/>
        <v>Hide Row</v>
      </c>
    </row>
    <row r="45" spans="1:33">
      <c r="C45" s="52" t="s">
        <v>118</v>
      </c>
      <c r="D45" s="69"/>
      <c r="E45" s="59">
        <f t="shared" si="6"/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S45" s="51" t="b">
        <f t="shared" si="7"/>
        <v>1</v>
      </c>
      <c r="U45" s="60" t="e">
        <v>#N/A</v>
      </c>
      <c r="V45" s="54" t="s">
        <v>118</v>
      </c>
      <c r="W45" s="60" t="e">
        <v>#N/A</v>
      </c>
      <c r="X45" s="51" t="s">
        <v>119</v>
      </c>
      <c r="Y45" s="60" t="e">
        <v>#N/A</v>
      </c>
      <c r="Z45" s="51" t="s">
        <v>120</v>
      </c>
      <c r="AA45" s="60"/>
      <c r="AC45" s="60"/>
      <c r="AD45" s="70" t="s">
        <v>121</v>
      </c>
      <c r="AG45" s="62" t="str">
        <f t="shared" si="8"/>
        <v>Hide Row</v>
      </c>
    </row>
    <row r="46" spans="1:33">
      <c r="C46" s="52" t="s">
        <v>122</v>
      </c>
      <c r="D46" s="69"/>
      <c r="E46" s="59">
        <f t="shared" si="6"/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S46" s="51" t="b">
        <f t="shared" si="7"/>
        <v>1</v>
      </c>
      <c r="U46" s="60" t="e">
        <v>#N/A</v>
      </c>
      <c r="V46" s="54" t="s">
        <v>123</v>
      </c>
      <c r="W46" s="60" t="e">
        <v>#N/A</v>
      </c>
      <c r="X46" s="51" t="s">
        <v>124</v>
      </c>
      <c r="Y46" s="60" t="e">
        <v>#N/A</v>
      </c>
      <c r="Z46" s="51" t="s">
        <v>125</v>
      </c>
      <c r="AA46" s="60"/>
      <c r="AC46" s="60"/>
      <c r="AD46" s="70" t="s">
        <v>126</v>
      </c>
      <c r="AG46" s="62" t="str">
        <f t="shared" si="8"/>
        <v>Hide Row</v>
      </c>
    </row>
    <row r="47" spans="1:33">
      <c r="A47" s="71"/>
      <c r="B47" s="64"/>
      <c r="C47" s="58" t="s">
        <v>127</v>
      </c>
      <c r="D47" s="69"/>
      <c r="E47" s="59">
        <f>SUM(F47:Q47)</f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9">
        <v>0</v>
      </c>
      <c r="U47" s="60" t="e">
        <v>#N/A</v>
      </c>
      <c r="V47" s="54" t="s">
        <v>128</v>
      </c>
      <c r="W47" s="60">
        <v>8</v>
      </c>
      <c r="X47" s="51" t="s">
        <v>129</v>
      </c>
      <c r="Y47" s="60"/>
      <c r="AA47" s="60"/>
      <c r="AC47" s="60"/>
      <c r="AG47" s="62" t="str">
        <f t="shared" si="8"/>
        <v/>
      </c>
    </row>
    <row r="48" spans="1:33">
      <c r="C48" s="52" t="s">
        <v>130</v>
      </c>
      <c r="D48" s="69"/>
      <c r="E48" s="59">
        <f>SUM(F48:Q48)</f>
        <v>364293.91200000001</v>
      </c>
      <c r="F48" s="59">
        <v>30357.826000000001</v>
      </c>
      <c r="G48" s="59">
        <v>30357.826000000001</v>
      </c>
      <c r="H48" s="59">
        <v>30357.826000000001</v>
      </c>
      <c r="I48" s="59">
        <v>30357.826000000001</v>
      </c>
      <c r="J48" s="59">
        <v>30357.826000000001</v>
      </c>
      <c r="K48" s="59">
        <v>30357.826000000001</v>
      </c>
      <c r="L48" s="59">
        <v>30357.826000000001</v>
      </c>
      <c r="M48" s="59">
        <v>30357.826000000001</v>
      </c>
      <c r="N48" s="59">
        <v>30357.826000000001</v>
      </c>
      <c r="O48" s="59">
        <v>30357.826000000001</v>
      </c>
      <c r="P48" s="59">
        <v>30357.826000000001</v>
      </c>
      <c r="Q48" s="59">
        <v>30357.826000000001</v>
      </c>
      <c r="S48" s="51" t="b">
        <f>C376=C48</f>
        <v>1</v>
      </c>
      <c r="U48" s="60">
        <v>40</v>
      </c>
      <c r="V48" s="72" t="s">
        <v>131</v>
      </c>
      <c r="W48" s="60"/>
      <c r="Y48" s="60"/>
      <c r="AA48" s="60"/>
      <c r="AC48" s="60"/>
      <c r="AG48" s="62" t="str">
        <f t="shared" si="8"/>
        <v/>
      </c>
    </row>
    <row r="49" spans="1:33" s="72" customFormat="1">
      <c r="A49" s="73"/>
      <c r="C49" s="52" t="s">
        <v>132</v>
      </c>
      <c r="D49" s="74"/>
      <c r="E49" s="65">
        <f>SUM(F49:Q49)</f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75"/>
      <c r="S49" s="51" t="b">
        <f>C377=C49</f>
        <v>1</v>
      </c>
      <c r="T49" s="54"/>
      <c r="U49" s="60" t="e">
        <v>#N/A</v>
      </c>
      <c r="V49" s="51" t="s">
        <v>133</v>
      </c>
      <c r="W49" s="60" t="e">
        <v>#N/A</v>
      </c>
      <c r="X49" s="51" t="s">
        <v>134</v>
      </c>
      <c r="Y49" s="60"/>
      <c r="AA49" s="60"/>
      <c r="AB49" s="51"/>
      <c r="AC49" s="60"/>
      <c r="AD49" s="51"/>
      <c r="AE49" s="51"/>
      <c r="AF49" s="51"/>
      <c r="AG49" s="62" t="str">
        <f t="shared" si="8"/>
        <v>Hide Row</v>
      </c>
    </row>
    <row r="50" spans="1:33" s="72" customFormat="1">
      <c r="A50" s="73"/>
      <c r="C50" s="52"/>
      <c r="D50" s="7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53"/>
      <c r="T50" s="54"/>
      <c r="U50" s="51"/>
      <c r="V50" s="51"/>
      <c r="W50" s="51"/>
      <c r="X50" s="51"/>
      <c r="Y50" s="51"/>
      <c r="Z50" s="51"/>
      <c r="AA50" s="51"/>
      <c r="AB50" s="51"/>
      <c r="AC50" s="51"/>
    </row>
    <row r="51" spans="1:33">
      <c r="B51" s="51" t="str">
        <f>"Total "&amp;B32</f>
        <v>Total Short Term Firm Sales</v>
      </c>
      <c r="E51" s="59">
        <f>SUM(F51:Q51)</f>
        <v>364293.91200000001</v>
      </c>
      <c r="F51" s="66">
        <f>SUM(F33:F49)</f>
        <v>30357.826000000001</v>
      </c>
      <c r="G51" s="66">
        <f>SUM(G32:G49)</f>
        <v>30357.826000000001</v>
      </c>
      <c r="H51" s="66">
        <f t="shared" ref="H51:Q51" si="11">SUM(H33:H49)</f>
        <v>30357.826000000001</v>
      </c>
      <c r="I51" s="66">
        <f t="shared" si="11"/>
        <v>30357.826000000001</v>
      </c>
      <c r="J51" s="66">
        <f t="shared" si="11"/>
        <v>30357.826000000001</v>
      </c>
      <c r="K51" s="66">
        <f t="shared" si="11"/>
        <v>30357.826000000001</v>
      </c>
      <c r="L51" s="66">
        <f t="shared" si="11"/>
        <v>30357.826000000001</v>
      </c>
      <c r="M51" s="66">
        <f t="shared" si="11"/>
        <v>30357.826000000001</v>
      </c>
      <c r="N51" s="66">
        <f t="shared" si="11"/>
        <v>30357.826000000001</v>
      </c>
      <c r="O51" s="66">
        <f t="shared" si="11"/>
        <v>30357.826000000001</v>
      </c>
      <c r="P51" s="66">
        <f t="shared" si="11"/>
        <v>30357.826000000001</v>
      </c>
      <c r="Q51" s="66">
        <f t="shared" si="11"/>
        <v>30357.826000000001</v>
      </c>
    </row>
    <row r="52" spans="1:33"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1:33">
      <c r="B53" s="51" t="s">
        <v>135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U53" s="41" t="s">
        <v>136</v>
      </c>
    </row>
    <row r="54" spans="1:33">
      <c r="C54" s="52" t="s">
        <v>90</v>
      </c>
      <c r="E54" s="59">
        <f t="shared" ref="E54:E62" si="12">SUM(F54:Q54)</f>
        <v>36147248.5</v>
      </c>
      <c r="F54" s="59">
        <v>1832017.4</v>
      </c>
      <c r="G54" s="59">
        <v>1492217.1</v>
      </c>
      <c r="H54" s="59">
        <v>1222019</v>
      </c>
      <c r="I54" s="59">
        <v>4350896</v>
      </c>
      <c r="J54" s="59">
        <v>4103563.2</v>
      </c>
      <c r="K54" s="59">
        <v>3927017</v>
      </c>
      <c r="L54" s="59">
        <v>2540044.2000000002</v>
      </c>
      <c r="M54" s="59">
        <v>2988175.5</v>
      </c>
      <c r="N54" s="59">
        <v>3574085</v>
      </c>
      <c r="O54" s="59">
        <v>3796730.5</v>
      </c>
      <c r="P54" s="59">
        <v>3435450.8</v>
      </c>
      <c r="Q54" s="59">
        <v>2885032.8</v>
      </c>
      <c r="S54" s="51" t="b">
        <f t="shared" ref="S54:S62" si="13">C382=C54</f>
        <v>1</v>
      </c>
      <c r="U54" s="60">
        <v>1</v>
      </c>
      <c r="V54" s="51" t="s">
        <v>90</v>
      </c>
      <c r="Y54" s="61" t="e">
        <v>#N/A</v>
      </c>
      <c r="Z54" s="77" t="s">
        <v>137</v>
      </c>
      <c r="AD54" s="70" t="s">
        <v>138</v>
      </c>
      <c r="AG54" s="62" t="str">
        <f>IF(OR(ISNUMBER(U54),ISNUMBER(W54),ISNUMBER(#REF!),ISNUMBER(AA54),ISNUMBER(AC54)),"","Hide Row")</f>
        <v/>
      </c>
    </row>
    <row r="55" spans="1:33">
      <c r="C55" s="52" t="s">
        <v>93</v>
      </c>
      <c r="E55" s="59">
        <f t="shared" si="12"/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S55" s="51" t="b">
        <f t="shared" si="13"/>
        <v>1</v>
      </c>
      <c r="U55" s="60" t="e">
        <v>#N/A</v>
      </c>
      <c r="V55" s="51" t="s">
        <v>93</v>
      </c>
      <c r="W55" s="60" t="e">
        <v>#N/A</v>
      </c>
      <c r="X55" s="51" t="s">
        <v>139</v>
      </c>
      <c r="Y55" s="61" t="e">
        <v>#N/A</v>
      </c>
      <c r="Z55" s="77" t="s">
        <v>140</v>
      </c>
      <c r="AD55" s="70" t="s">
        <v>141</v>
      </c>
      <c r="AG55" s="62" t="str">
        <f>IF(OR(ISNUMBER(U55),ISNUMBER(W55),ISNUMBER(#REF!),ISNUMBER(AA55),ISNUMBER(AC55)),"","Hide Row")</f>
        <v>Hide Row</v>
      </c>
    </row>
    <row r="56" spans="1:33" s="72" customFormat="1">
      <c r="A56" s="73"/>
      <c r="C56" s="52" t="s">
        <v>100</v>
      </c>
      <c r="E56" s="59">
        <f t="shared" ref="E56" si="14">SUM(F56:Q56)</f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3"/>
      <c r="S56" s="51" t="b">
        <f t="shared" si="13"/>
        <v>1</v>
      </c>
      <c r="T56" s="54"/>
      <c r="U56" s="60" t="e">
        <v>#N/A</v>
      </c>
      <c r="V56" s="51" t="s">
        <v>100</v>
      </c>
      <c r="W56" s="54"/>
      <c r="X56" s="54"/>
      <c r="Z56" s="70"/>
      <c r="AD56" s="70" t="s">
        <v>142</v>
      </c>
      <c r="AG56" s="62" t="str">
        <f>IF(OR(ISNUMBER(U56),ISNUMBER(W56),ISNUMBER(#REF!),ISNUMBER(AA56),ISNUMBER(AC56)),"","Hide Row")</f>
        <v>Hide Row</v>
      </c>
    </row>
    <row r="57" spans="1:33" s="72" customFormat="1">
      <c r="A57" s="73"/>
      <c r="C57" s="52" t="s">
        <v>101</v>
      </c>
      <c r="E57" s="59">
        <f t="shared" si="12"/>
        <v>9164093.777999999</v>
      </c>
      <c r="F57" s="59">
        <v>121716.6</v>
      </c>
      <c r="G57" s="59">
        <v>28009.192999999999</v>
      </c>
      <c r="H57" s="59">
        <v>8798.6350000000002</v>
      </c>
      <c r="I57" s="59">
        <v>1121124.5</v>
      </c>
      <c r="J57" s="59">
        <v>1424174.9</v>
      </c>
      <c r="K57" s="59">
        <v>1579267.1</v>
      </c>
      <c r="L57" s="59">
        <v>1222419.6000000001</v>
      </c>
      <c r="M57" s="59">
        <v>747256.25</v>
      </c>
      <c r="N57" s="59">
        <v>619693.6</v>
      </c>
      <c r="O57" s="59">
        <v>796903.3</v>
      </c>
      <c r="P57" s="59">
        <v>776523.7</v>
      </c>
      <c r="Q57" s="59">
        <v>718206.4</v>
      </c>
      <c r="R57" s="53"/>
      <c r="S57" s="51" t="b">
        <f t="shared" si="13"/>
        <v>1</v>
      </c>
      <c r="T57" s="54"/>
      <c r="U57" s="60">
        <v>2</v>
      </c>
      <c r="V57" s="51" t="s">
        <v>101</v>
      </c>
      <c r="W57" s="54"/>
      <c r="X57" s="54"/>
      <c r="AD57" s="70" t="s">
        <v>143</v>
      </c>
      <c r="AG57" s="62" t="str">
        <f>IF(OR(ISNUMBER(U57),ISNUMBER(W57),ISNUMBER(#REF!),ISNUMBER(AA57),ISNUMBER(AC57)),"","Hide Row")</f>
        <v/>
      </c>
    </row>
    <row r="58" spans="1:33" s="72" customFormat="1">
      <c r="A58" s="73"/>
      <c r="C58" s="52" t="s">
        <v>103</v>
      </c>
      <c r="E58" s="59">
        <f t="shared" si="12"/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0</v>
      </c>
      <c r="R58" s="53"/>
      <c r="S58" s="51" t="b">
        <f t="shared" si="13"/>
        <v>1</v>
      </c>
      <c r="T58" s="54"/>
      <c r="U58" s="60" t="e">
        <v>#N/A</v>
      </c>
      <c r="V58" s="51" t="s">
        <v>103</v>
      </c>
      <c r="W58" s="54"/>
      <c r="X58" s="54"/>
      <c r="Y58" s="61" t="e">
        <v>#N/A</v>
      </c>
      <c r="Z58" s="51" t="s">
        <v>144</v>
      </c>
      <c r="AD58" s="70" t="s">
        <v>145</v>
      </c>
      <c r="AG58" s="62" t="str">
        <f>IF(OR(ISNUMBER(U58),ISNUMBER(W58),ISNUMBER(#REF!),ISNUMBER(AA58),ISNUMBER(AC58)),"","Hide Row")</f>
        <v>Hide Row</v>
      </c>
    </row>
    <row r="59" spans="1:33" s="72" customFormat="1">
      <c r="A59" s="73"/>
      <c r="C59" s="52" t="s">
        <v>104</v>
      </c>
      <c r="E59" s="59">
        <f t="shared" ref="E59" si="15">SUM(F59:Q59)</f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53"/>
      <c r="S59" s="51" t="b">
        <f t="shared" si="13"/>
        <v>1</v>
      </c>
      <c r="T59" s="54"/>
      <c r="U59" s="60">
        <v>3</v>
      </c>
      <c r="V59" s="51" t="s">
        <v>104</v>
      </c>
      <c r="W59" s="54"/>
      <c r="X59" s="54"/>
      <c r="Z59" s="70"/>
      <c r="AD59" s="70" t="s">
        <v>146</v>
      </c>
      <c r="AG59" s="62" t="str">
        <f>IF(OR(ISNUMBER(U59),ISNUMBER(W59),ISNUMBER(#REF!),ISNUMBER(AA59),ISNUMBER(AC59)),"","Hide Row")</f>
        <v/>
      </c>
    </row>
    <row r="60" spans="1:33" s="72" customFormat="1">
      <c r="A60" s="73"/>
      <c r="C60" s="52" t="s">
        <v>105</v>
      </c>
      <c r="E60" s="59">
        <f t="shared" si="12"/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59">
        <v>0</v>
      </c>
      <c r="R60" s="53"/>
      <c r="S60" s="51" t="b">
        <f t="shared" si="13"/>
        <v>1</v>
      </c>
      <c r="T60" s="54"/>
      <c r="U60" s="60" t="e">
        <v>#N/A</v>
      </c>
      <c r="V60" s="51" t="s">
        <v>105</v>
      </c>
      <c r="W60" s="54"/>
      <c r="X60" s="54"/>
      <c r="Z60" s="70" t="s">
        <v>147</v>
      </c>
      <c r="AD60" s="70" t="s">
        <v>148</v>
      </c>
      <c r="AE60" s="51"/>
      <c r="AF60" s="51"/>
      <c r="AG60" s="62" t="str">
        <f>IF(OR(ISNUMBER(U60),ISNUMBER(W60),ISNUMBER(#REF!),ISNUMBER(AA60),ISNUMBER(AC60)),"","Hide Row")</f>
        <v>Hide Row</v>
      </c>
    </row>
    <row r="61" spans="1:33">
      <c r="C61" s="52" t="s">
        <v>108</v>
      </c>
      <c r="E61" s="59">
        <f t="shared" si="12"/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S61" s="51" t="b">
        <f t="shared" si="13"/>
        <v>1</v>
      </c>
      <c r="U61" s="60" t="e">
        <v>#N/A</v>
      </c>
      <c r="V61" s="51" t="s">
        <v>108</v>
      </c>
      <c r="W61" s="54"/>
      <c r="X61" s="54"/>
      <c r="Z61" s="70" t="s">
        <v>149</v>
      </c>
      <c r="AD61" s="70" t="s">
        <v>150</v>
      </c>
      <c r="AG61" s="62" t="str">
        <f>IF(OR(ISNUMBER(U61),ISNUMBER(W61),ISNUMBER(#REF!),ISNUMBER(AA61),ISNUMBER(AC61)),"","Hide Row")</f>
        <v>Hide Row</v>
      </c>
    </row>
    <row r="62" spans="1:33" s="72" customFormat="1">
      <c r="A62" s="73"/>
      <c r="C62" s="52" t="s">
        <v>151</v>
      </c>
      <c r="E62" s="65">
        <f t="shared" si="12"/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  <c r="R62" s="53"/>
      <c r="S62" s="51" t="b">
        <f t="shared" si="13"/>
        <v>1</v>
      </c>
      <c r="T62" s="54"/>
      <c r="X62" s="51"/>
      <c r="Z62" s="63" t="s">
        <v>152</v>
      </c>
      <c r="AD62" s="70" t="s">
        <v>153</v>
      </c>
      <c r="AE62" s="51"/>
      <c r="AF62" s="51"/>
      <c r="AG62" s="51"/>
    </row>
    <row r="63" spans="1:33" s="72" customFormat="1">
      <c r="A63" s="73"/>
      <c r="C63" s="52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53"/>
      <c r="T63" s="54"/>
      <c r="X63" s="51"/>
      <c r="Z63" s="63"/>
      <c r="AD63" s="70" t="s">
        <v>154</v>
      </c>
      <c r="AE63" s="51"/>
      <c r="AF63" s="51"/>
      <c r="AG63" s="51"/>
    </row>
    <row r="64" spans="1:33">
      <c r="B64" s="51" t="str">
        <f>"Total "&amp;B53</f>
        <v>Total System Balancing Sales</v>
      </c>
      <c r="E64" s="59">
        <f>SUM(F64:Q64)</f>
        <v>45311342.278000005</v>
      </c>
      <c r="F64" s="66">
        <f>SUM(F54:F63)</f>
        <v>1953734</v>
      </c>
      <c r="G64" s="66">
        <f t="shared" ref="G64:Q64" si="16">SUM(G54:G62)</f>
        <v>1520226.2930000001</v>
      </c>
      <c r="H64" s="66">
        <f t="shared" si="16"/>
        <v>1230817.635</v>
      </c>
      <c r="I64" s="66">
        <f t="shared" si="16"/>
        <v>5472020.5</v>
      </c>
      <c r="J64" s="66">
        <f t="shared" si="16"/>
        <v>5527738.0999999996</v>
      </c>
      <c r="K64" s="66">
        <f t="shared" si="16"/>
        <v>5506284.0999999996</v>
      </c>
      <c r="L64" s="66">
        <f t="shared" si="16"/>
        <v>3762463.8000000003</v>
      </c>
      <c r="M64" s="66">
        <f t="shared" si="16"/>
        <v>3735431.75</v>
      </c>
      <c r="N64" s="66">
        <f t="shared" si="16"/>
        <v>4193778.6</v>
      </c>
      <c r="O64" s="66">
        <f t="shared" si="16"/>
        <v>4593633.8</v>
      </c>
      <c r="P64" s="66">
        <f t="shared" si="16"/>
        <v>4211974.5</v>
      </c>
      <c r="Q64" s="66">
        <f t="shared" si="16"/>
        <v>3603239.1999999997</v>
      </c>
      <c r="V64" s="70" t="s">
        <v>155</v>
      </c>
      <c r="X64" s="70" t="s">
        <v>156</v>
      </c>
      <c r="Z64" s="70" t="s">
        <v>157</v>
      </c>
      <c r="AD64" s="70" t="s">
        <v>141</v>
      </c>
    </row>
    <row r="65" spans="1:33"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V65" s="70" t="s">
        <v>158</v>
      </c>
      <c r="X65" s="70" t="s">
        <v>159</v>
      </c>
      <c r="Z65" s="70" t="s">
        <v>160</v>
      </c>
      <c r="AD65" s="70" t="s">
        <v>138</v>
      </c>
    </row>
    <row r="66" spans="1:33" ht="15.75">
      <c r="A66" s="56" t="str">
        <f>"Total "&amp;A7</f>
        <v>Total Special Sales For Resale</v>
      </c>
      <c r="E66" s="59">
        <f>SUM(F66:Q66)</f>
        <v>94170486.413300008</v>
      </c>
      <c r="F66" s="66">
        <f t="shared" ref="F66:Q66" si="17">F30+F51+F64</f>
        <v>7983398.8983000005</v>
      </c>
      <c r="G66" s="66">
        <f t="shared" si="17"/>
        <v>7763828.3020000011</v>
      </c>
      <c r="H66" s="66">
        <f t="shared" si="17"/>
        <v>9192596.1170000006</v>
      </c>
      <c r="I66" s="66">
        <f t="shared" si="17"/>
        <v>15063984.998</v>
      </c>
      <c r="J66" s="66">
        <f t="shared" si="17"/>
        <v>13305180.434999999</v>
      </c>
      <c r="K66" s="66">
        <f t="shared" si="17"/>
        <v>7676653.909</v>
      </c>
      <c r="L66" s="66">
        <f t="shared" si="17"/>
        <v>7554362.1349999998</v>
      </c>
      <c r="M66" s="66">
        <f t="shared" si="17"/>
        <v>3894804.3250000002</v>
      </c>
      <c r="N66" s="66">
        <f t="shared" si="17"/>
        <v>4232880.943</v>
      </c>
      <c r="O66" s="66">
        <f t="shared" si="17"/>
        <v>4631880.7402999997</v>
      </c>
      <c r="P66" s="66">
        <f t="shared" si="17"/>
        <v>5419453.5716999993</v>
      </c>
      <c r="Q66" s="66">
        <f t="shared" si="17"/>
        <v>7451462.0389999989</v>
      </c>
      <c r="V66" s="70">
        <v>0</v>
      </c>
      <c r="W66" s="70"/>
      <c r="X66" s="70" t="s">
        <v>161</v>
      </c>
      <c r="Y66" s="70"/>
      <c r="Z66" s="70" t="s">
        <v>162</v>
      </c>
      <c r="AA66" s="70"/>
      <c r="AB66" s="70"/>
      <c r="AC66" s="70"/>
      <c r="AD66" s="70" t="s">
        <v>163</v>
      </c>
      <c r="AG66" s="70"/>
    </row>
    <row r="67" spans="1:33" ht="15.75">
      <c r="A67" s="5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V67" s="70"/>
      <c r="Z67" s="70" t="s">
        <v>164</v>
      </c>
      <c r="AD67" s="70" t="s">
        <v>165</v>
      </c>
    </row>
    <row r="68" spans="1:33"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V68" s="70"/>
      <c r="X68" s="70"/>
      <c r="Z68" s="70"/>
    </row>
    <row r="69" spans="1:33" s="41" customFormat="1" ht="18">
      <c r="A69" s="78" t="s">
        <v>166</v>
      </c>
      <c r="C69" s="42"/>
      <c r="E69" s="79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53"/>
      <c r="T69" s="54"/>
    </row>
    <row r="70" spans="1:33">
      <c r="B70" s="51" t="s">
        <v>167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U70" s="41" t="s">
        <v>53</v>
      </c>
      <c r="AC70" s="41" t="s">
        <v>54</v>
      </c>
    </row>
    <row r="71" spans="1:33">
      <c r="C71" s="58" t="s">
        <v>168</v>
      </c>
      <c r="E71" s="59">
        <f t="shared" ref="E71:E105" si="18">SUM(F71:Q71)</f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S71" s="51" t="b">
        <f t="shared" ref="S71:S76" si="19">C401=C71</f>
        <v>1</v>
      </c>
      <c r="U71" s="60" t="e">
        <v>#N/A</v>
      </c>
      <c r="V71" s="51" t="s">
        <v>169</v>
      </c>
      <c r="W71" s="60" t="e">
        <v>#N/A</v>
      </c>
      <c r="X71" s="51" t="s">
        <v>170</v>
      </c>
      <c r="Y71" s="60"/>
      <c r="Z71" s="63"/>
      <c r="AA71" s="60"/>
      <c r="AC71" s="60"/>
      <c r="AG71" s="62" t="str">
        <f t="shared" ref="AG71:AG110" si="20">IF(OR(ISNUMBER(U71),ISNUMBER(W71),ISNUMBER(Y71),ISNUMBER(AA71),ISNUMBER(AC71)),"","Hide Row")</f>
        <v>Hide Row</v>
      </c>
    </row>
    <row r="72" spans="1:33" hidden="1">
      <c r="C72" s="58" t="s">
        <v>171</v>
      </c>
      <c r="E72" s="59">
        <f t="shared" si="18"/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S72" s="51" t="b">
        <f t="shared" si="19"/>
        <v>1</v>
      </c>
      <c r="U72" s="60" t="e">
        <v>#N/A</v>
      </c>
      <c r="V72" s="51" t="s">
        <v>171</v>
      </c>
      <c r="W72" s="60" t="e">
        <v>#N/A</v>
      </c>
      <c r="Y72" s="60"/>
      <c r="AA72" s="60"/>
      <c r="AC72" s="60"/>
      <c r="AG72" s="62" t="str">
        <f t="shared" si="20"/>
        <v>Hide Row</v>
      </c>
    </row>
    <row r="73" spans="1:33" hidden="1">
      <c r="C73" s="58" t="s">
        <v>172</v>
      </c>
      <c r="E73" s="59">
        <f t="shared" si="18"/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>
        <v>0</v>
      </c>
      <c r="S73" s="51" t="b">
        <f t="shared" si="19"/>
        <v>1</v>
      </c>
      <c r="U73" s="60" t="e">
        <v>#N/A</v>
      </c>
      <c r="V73" s="51" t="s">
        <v>173</v>
      </c>
      <c r="W73" s="60"/>
      <c r="Y73" s="60"/>
      <c r="AA73" s="60"/>
      <c r="AC73" s="60"/>
      <c r="AG73" s="62" t="str">
        <f t="shared" si="20"/>
        <v>Hide Row</v>
      </c>
    </row>
    <row r="74" spans="1:33">
      <c r="C74" s="58" t="s">
        <v>174</v>
      </c>
      <c r="E74" s="59">
        <f t="shared" ref="E74" si="21">SUM(F74:Q74)</f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S74" s="51" t="b">
        <f t="shared" si="19"/>
        <v>1</v>
      </c>
      <c r="U74" s="60">
        <v>19</v>
      </c>
      <c r="V74" s="51" t="s">
        <v>175</v>
      </c>
      <c r="W74" s="60">
        <v>14</v>
      </c>
      <c r="X74" s="51" t="s">
        <v>176</v>
      </c>
      <c r="Y74" s="60"/>
      <c r="AA74" s="60"/>
      <c r="AC74" s="60"/>
      <c r="AG74" s="62" t="str">
        <f t="shared" si="20"/>
        <v/>
      </c>
    </row>
    <row r="75" spans="1:33" hidden="1">
      <c r="C75" s="58" t="s">
        <v>177</v>
      </c>
      <c r="E75" s="66">
        <f t="shared" si="18"/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S75" s="51" t="b">
        <f t="shared" si="19"/>
        <v>1</v>
      </c>
      <c r="U75" s="60" t="e">
        <v>#N/A</v>
      </c>
      <c r="V75" s="51" t="s">
        <v>177</v>
      </c>
      <c r="W75" s="60"/>
      <c r="Y75" s="60"/>
      <c r="AA75" s="60"/>
      <c r="AC75" s="60"/>
      <c r="AG75" s="62" t="str">
        <f t="shared" si="20"/>
        <v>Hide Row</v>
      </c>
    </row>
    <row r="76" spans="1:33">
      <c r="C76" s="58" t="s">
        <v>178</v>
      </c>
      <c r="E76" s="59">
        <f t="shared" si="18"/>
        <v>5225444.6899999995</v>
      </c>
      <c r="F76" s="59">
        <v>403458.34</v>
      </c>
      <c r="G76" s="59">
        <v>375038.5</v>
      </c>
      <c r="H76" s="59">
        <v>451979.12</v>
      </c>
      <c r="I76" s="59">
        <v>433240.88</v>
      </c>
      <c r="J76" s="59">
        <v>429644.75</v>
      </c>
      <c r="K76" s="59">
        <v>409478.88</v>
      </c>
      <c r="L76" s="59">
        <v>439678.44</v>
      </c>
      <c r="M76" s="59">
        <v>490452.12</v>
      </c>
      <c r="N76" s="59">
        <v>357383.72</v>
      </c>
      <c r="O76" s="59">
        <v>507157.44</v>
      </c>
      <c r="P76" s="59">
        <v>341532.56</v>
      </c>
      <c r="Q76" s="59">
        <v>586399.93999999994</v>
      </c>
      <c r="S76" s="51" t="b">
        <f t="shared" si="19"/>
        <v>1</v>
      </c>
      <c r="U76" s="60">
        <v>2</v>
      </c>
      <c r="V76" s="51" t="s">
        <v>179</v>
      </c>
      <c r="W76" s="60"/>
      <c r="Y76" s="60"/>
      <c r="AA76" s="60"/>
      <c r="AC76" s="60"/>
      <c r="AG76" s="62" t="str">
        <f t="shared" si="20"/>
        <v/>
      </c>
    </row>
    <row r="77" spans="1:33" hidden="1"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U77" s="60"/>
      <c r="W77" s="60"/>
      <c r="Y77" s="60"/>
      <c r="AA77" s="60"/>
      <c r="AC77" s="60"/>
      <c r="AG77" s="62" t="str">
        <f t="shared" si="20"/>
        <v>Hide Row</v>
      </c>
    </row>
    <row r="78" spans="1:33" hidden="1">
      <c r="C78" s="58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U78" s="60"/>
      <c r="W78" s="60"/>
      <c r="Y78" s="60"/>
      <c r="AA78" s="60"/>
      <c r="AC78" s="60"/>
      <c r="AG78" s="62" t="str">
        <f t="shared" si="20"/>
        <v>Hide Row</v>
      </c>
    </row>
    <row r="79" spans="1:33" hidden="1">
      <c r="C79" s="58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U79" s="60"/>
      <c r="W79" s="60"/>
      <c r="Y79" s="60"/>
      <c r="AA79" s="60"/>
      <c r="AC79" s="60"/>
      <c r="AG79" s="62" t="str">
        <f t="shared" si="20"/>
        <v>Hide Row</v>
      </c>
    </row>
    <row r="80" spans="1:33">
      <c r="C80" s="58" t="s">
        <v>180</v>
      </c>
      <c r="E80" s="59">
        <f t="shared" si="18"/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0</v>
      </c>
      <c r="Q80" s="59">
        <v>0</v>
      </c>
      <c r="S80" s="51" t="b">
        <f t="shared" ref="S80:S95" si="22">C410=C80</f>
        <v>1</v>
      </c>
      <c r="U80" s="60" t="e">
        <v>#N/A</v>
      </c>
      <c r="V80" s="51" t="s">
        <v>181</v>
      </c>
      <c r="W80" s="60" t="e">
        <v>#N/A</v>
      </c>
      <c r="X80" s="63" t="s">
        <v>182</v>
      </c>
      <c r="Y80" s="60"/>
      <c r="Z80" s="63"/>
      <c r="AA80" s="60"/>
      <c r="AB80" s="70"/>
      <c r="AC80" s="60"/>
      <c r="AG80" s="62" t="str">
        <f t="shared" si="20"/>
        <v>Hide Row</v>
      </c>
    </row>
    <row r="81" spans="3:33">
      <c r="C81" s="58" t="s">
        <v>183</v>
      </c>
      <c r="E81" s="59">
        <f t="shared" si="18"/>
        <v>2224401.6519999998</v>
      </c>
      <c r="F81" s="59">
        <v>255407.72</v>
      </c>
      <c r="G81" s="59">
        <v>327130.90000000002</v>
      </c>
      <c r="H81" s="59">
        <v>354008.16</v>
      </c>
      <c r="I81" s="59">
        <v>307831.8</v>
      </c>
      <c r="J81" s="59">
        <v>238498.38</v>
      </c>
      <c r="K81" s="59">
        <v>106296.484</v>
      </c>
      <c r="L81" s="59">
        <v>98796.49</v>
      </c>
      <c r="M81" s="59">
        <v>98344.46</v>
      </c>
      <c r="N81" s="59">
        <v>99876.97</v>
      </c>
      <c r="O81" s="59">
        <v>99317.483999999997</v>
      </c>
      <c r="P81" s="59">
        <v>93906.664000000004</v>
      </c>
      <c r="Q81" s="59">
        <v>144986.14000000001</v>
      </c>
      <c r="S81" s="51" t="b">
        <f t="shared" si="22"/>
        <v>1</v>
      </c>
      <c r="U81" s="60">
        <v>5</v>
      </c>
      <c r="V81" s="51" t="s">
        <v>184</v>
      </c>
      <c r="W81" s="60"/>
      <c r="Y81" s="60"/>
      <c r="AA81" s="60"/>
      <c r="AC81" s="60"/>
      <c r="AG81" s="62" t="str">
        <f t="shared" si="20"/>
        <v/>
      </c>
    </row>
    <row r="82" spans="3:33">
      <c r="C82" s="58" t="s">
        <v>185</v>
      </c>
      <c r="E82" s="59">
        <f t="shared" si="18"/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59">
        <v>0</v>
      </c>
      <c r="Q82" s="59">
        <v>0</v>
      </c>
      <c r="S82" s="51" t="b">
        <f t="shared" si="22"/>
        <v>1</v>
      </c>
      <c r="U82" s="60" t="e">
        <v>#N/A</v>
      </c>
      <c r="V82" s="51" t="s">
        <v>186</v>
      </c>
      <c r="W82" s="60" t="e">
        <v>#N/A</v>
      </c>
      <c r="X82" s="63" t="s">
        <v>187</v>
      </c>
      <c r="Y82" s="60"/>
      <c r="Z82" s="63"/>
      <c r="AA82" s="60"/>
      <c r="AC82" s="60"/>
      <c r="AG82" s="62" t="str">
        <f t="shared" si="20"/>
        <v>Hide Row</v>
      </c>
    </row>
    <row r="83" spans="3:33">
      <c r="C83" s="58" t="s">
        <v>188</v>
      </c>
      <c r="E83" s="59">
        <f t="shared" si="18"/>
        <v>4573171.12</v>
      </c>
      <c r="F83" s="59">
        <v>498891.38</v>
      </c>
      <c r="G83" s="59">
        <v>515521.12</v>
      </c>
      <c r="H83" s="59">
        <v>498891.38</v>
      </c>
      <c r="I83" s="59">
        <v>515521.12</v>
      </c>
      <c r="J83" s="59">
        <v>515521.12</v>
      </c>
      <c r="K83" s="59">
        <v>498891.38</v>
      </c>
      <c r="L83" s="59">
        <v>515521.12</v>
      </c>
      <c r="M83" s="59">
        <v>498891.38</v>
      </c>
      <c r="N83" s="59">
        <v>515521.12</v>
      </c>
      <c r="O83" s="59">
        <v>0</v>
      </c>
      <c r="P83" s="59">
        <v>0</v>
      </c>
      <c r="Q83" s="59">
        <v>0</v>
      </c>
      <c r="S83" s="51" t="b">
        <f t="shared" si="22"/>
        <v>1</v>
      </c>
      <c r="U83" s="60">
        <v>9</v>
      </c>
      <c r="V83" s="51" t="s">
        <v>189</v>
      </c>
      <c r="W83" s="60"/>
      <c r="Y83" s="60"/>
      <c r="AA83" s="60"/>
      <c r="AC83" s="60"/>
      <c r="AG83" s="62" t="str">
        <f t="shared" si="20"/>
        <v/>
      </c>
    </row>
    <row r="84" spans="3:33" hidden="1">
      <c r="C84" s="58" t="s">
        <v>190</v>
      </c>
      <c r="E84" s="59">
        <f t="shared" si="18"/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0</v>
      </c>
      <c r="Q84" s="59">
        <v>0</v>
      </c>
      <c r="S84" s="51" t="b">
        <f t="shared" si="22"/>
        <v>1</v>
      </c>
      <c r="U84" s="60" t="e">
        <v>#N/A</v>
      </c>
      <c r="V84" s="51" t="s">
        <v>191</v>
      </c>
      <c r="W84" s="60"/>
      <c r="Y84" s="60"/>
      <c r="AA84" s="60"/>
      <c r="AC84" s="60"/>
      <c r="AG84" s="62" t="str">
        <f t="shared" si="20"/>
        <v>Hide Row</v>
      </c>
    </row>
    <row r="85" spans="3:33">
      <c r="C85" s="58" t="s">
        <v>192</v>
      </c>
      <c r="E85" s="59">
        <f t="shared" si="18"/>
        <v>81165141.82661356</v>
      </c>
      <c r="F85" s="59">
        <v>6184339.8820217568</v>
      </c>
      <c r="G85" s="59">
        <v>4353685.5239333501</v>
      </c>
      <c r="H85" s="59">
        <v>3653321.7139606825</v>
      </c>
      <c r="I85" s="59">
        <v>7224917.4553887825</v>
      </c>
      <c r="J85" s="59">
        <v>7518015.6765823625</v>
      </c>
      <c r="K85" s="59">
        <v>6982045.6482486883</v>
      </c>
      <c r="L85" s="59">
        <v>7815229.8536627004</v>
      </c>
      <c r="M85" s="59">
        <v>7549837.8932532836</v>
      </c>
      <c r="N85" s="59">
        <v>7832739.8497602781</v>
      </c>
      <c r="O85" s="59">
        <v>7772683.2447662912</v>
      </c>
      <c r="P85" s="59">
        <v>7199003.8384727724</v>
      </c>
      <c r="Q85" s="59">
        <v>7079321.246562616</v>
      </c>
      <c r="S85" s="51" t="b">
        <f t="shared" si="22"/>
        <v>1</v>
      </c>
      <c r="U85" s="60"/>
      <c r="W85" s="60"/>
      <c r="X85" s="63" t="s">
        <v>152</v>
      </c>
      <c r="Y85" s="61">
        <f>MATCH(Z85,$B$861:$B$874,0)</f>
        <v>5</v>
      </c>
      <c r="Z85" s="51" t="s">
        <v>193</v>
      </c>
      <c r="AA85" s="61">
        <f>MATCH(AB85,$B$861:$B$874,0)</f>
        <v>6</v>
      </c>
      <c r="AB85" s="51" t="s">
        <v>194</v>
      </c>
      <c r="AC85" s="61">
        <v>2</v>
      </c>
      <c r="AD85" s="64" t="s">
        <v>195</v>
      </c>
      <c r="AG85" s="62" t="str">
        <f t="shared" si="20"/>
        <v/>
      </c>
    </row>
    <row r="86" spans="3:33">
      <c r="C86" s="58" t="s">
        <v>196</v>
      </c>
      <c r="E86" s="59">
        <f t="shared" si="18"/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S86" s="51" t="b">
        <f t="shared" si="22"/>
        <v>1</v>
      </c>
      <c r="U86" s="60" t="e">
        <v>#N/A</v>
      </c>
      <c r="V86" s="51" t="s">
        <v>197</v>
      </c>
      <c r="W86" s="60"/>
      <c r="Y86" s="60"/>
      <c r="AA86" s="60"/>
      <c r="AC86" s="60"/>
      <c r="AG86" s="62" t="str">
        <f t="shared" si="20"/>
        <v>Hide Row</v>
      </c>
    </row>
    <row r="87" spans="3:33" hidden="1">
      <c r="C87" s="58" t="s">
        <v>198</v>
      </c>
      <c r="E87" s="59">
        <f t="shared" si="18"/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v>0</v>
      </c>
      <c r="S87" s="51" t="b">
        <f t="shared" si="22"/>
        <v>1</v>
      </c>
      <c r="U87" s="60" t="e">
        <v>#N/A</v>
      </c>
      <c r="V87" s="51" t="s">
        <v>199</v>
      </c>
      <c r="W87" s="60" t="e">
        <v>#N/A</v>
      </c>
      <c r="X87" s="51" t="s">
        <v>200</v>
      </c>
      <c r="Y87" s="60" t="e">
        <v>#N/A</v>
      </c>
      <c r="Z87" s="77" t="s">
        <v>201</v>
      </c>
      <c r="AA87" s="60" t="e">
        <v>#N/A</v>
      </c>
      <c r="AB87" s="77" t="s">
        <v>202</v>
      </c>
      <c r="AC87" s="60"/>
      <c r="AG87" s="62" t="str">
        <f t="shared" si="20"/>
        <v>Hide Row</v>
      </c>
    </row>
    <row r="88" spans="3:33">
      <c r="C88" s="58" t="s">
        <v>203</v>
      </c>
      <c r="E88" s="59">
        <f t="shared" si="18"/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S88" s="51" t="b">
        <f t="shared" si="22"/>
        <v>1</v>
      </c>
      <c r="U88" s="60" t="e">
        <v>#N/A</v>
      </c>
      <c r="V88" s="51" t="s">
        <v>203</v>
      </c>
      <c r="W88" s="60"/>
      <c r="Y88" s="60"/>
      <c r="AA88" s="60"/>
      <c r="AC88" s="60"/>
      <c r="AG88" s="62" t="str">
        <f t="shared" si="20"/>
        <v>Hide Row</v>
      </c>
    </row>
    <row r="89" spans="3:33" hidden="1">
      <c r="C89" s="52" t="s">
        <v>204</v>
      </c>
      <c r="E89" s="59">
        <f t="shared" si="18"/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S89" s="51" t="b">
        <f t="shared" si="22"/>
        <v>1</v>
      </c>
      <c r="U89" s="60" t="e">
        <v>#N/A</v>
      </c>
      <c r="V89" s="81" t="s">
        <v>205</v>
      </c>
      <c r="W89" s="60" t="e">
        <v>#N/A</v>
      </c>
      <c r="X89" s="81" t="s">
        <v>206</v>
      </c>
      <c r="Y89" s="60"/>
      <c r="AA89" s="60"/>
      <c r="AB89" s="70" t="s">
        <v>207</v>
      </c>
      <c r="AC89" s="60"/>
      <c r="AG89" s="62" t="str">
        <f t="shared" si="20"/>
        <v>Hide Row</v>
      </c>
    </row>
    <row r="90" spans="3:33" hidden="1">
      <c r="C90" s="82" t="s">
        <v>208</v>
      </c>
      <c r="E90" s="59">
        <f t="shared" si="18"/>
        <v>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0</v>
      </c>
      <c r="Q90" s="59">
        <v>0</v>
      </c>
      <c r="S90" s="51" t="b">
        <f t="shared" si="22"/>
        <v>1</v>
      </c>
      <c r="U90" s="60" t="e">
        <v>#N/A</v>
      </c>
      <c r="V90" s="51" t="s">
        <v>209</v>
      </c>
      <c r="W90" s="60" t="e">
        <v>#N/A</v>
      </c>
      <c r="X90" s="51" t="s">
        <v>210</v>
      </c>
      <c r="Y90" s="60" t="e">
        <v>#N/A</v>
      </c>
      <c r="Z90" s="51" t="s">
        <v>211</v>
      </c>
      <c r="AA90" s="60" t="e">
        <v>#N/A</v>
      </c>
      <c r="AB90" s="51" t="s">
        <v>212</v>
      </c>
      <c r="AC90" s="60"/>
      <c r="AE90" s="60"/>
      <c r="AG90" s="62" t="str">
        <f t="shared" si="20"/>
        <v>Hide Row</v>
      </c>
    </row>
    <row r="91" spans="3:33">
      <c r="C91" s="82" t="s">
        <v>213</v>
      </c>
      <c r="E91" s="59">
        <f t="shared" si="18"/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 s="59">
        <v>0</v>
      </c>
      <c r="S91" s="51" t="b">
        <f t="shared" si="22"/>
        <v>1</v>
      </c>
      <c r="U91" s="60" t="e">
        <v>#N/A</v>
      </c>
      <c r="V91" s="51" t="s">
        <v>214</v>
      </c>
      <c r="W91" s="60" t="e">
        <v>#N/A</v>
      </c>
      <c r="X91" s="51" t="s">
        <v>215</v>
      </c>
      <c r="Y91" s="60" t="e">
        <v>#N/A</v>
      </c>
      <c r="Z91" s="51" t="s">
        <v>216</v>
      </c>
      <c r="AA91" s="60" t="e">
        <v>#N/A</v>
      </c>
      <c r="AB91" s="51" t="s">
        <v>217</v>
      </c>
      <c r="AC91" s="60"/>
      <c r="AG91" s="62" t="str">
        <f t="shared" si="20"/>
        <v>Hide Row</v>
      </c>
    </row>
    <row r="92" spans="3:33">
      <c r="C92" s="82" t="s">
        <v>218</v>
      </c>
      <c r="E92" s="59">
        <f t="shared" si="18"/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>
        <v>0</v>
      </c>
      <c r="P92" s="59">
        <v>0</v>
      </c>
      <c r="Q92" s="59">
        <v>0</v>
      </c>
      <c r="S92" s="51" t="b">
        <f t="shared" si="22"/>
        <v>1</v>
      </c>
      <c r="U92" s="60" t="e">
        <v>#N/A</v>
      </c>
      <c r="V92" s="51" t="s">
        <v>219</v>
      </c>
      <c r="W92" s="60"/>
      <c r="Y92" s="60"/>
      <c r="AA92" s="60"/>
      <c r="AC92" s="60"/>
      <c r="AG92" s="62" t="str">
        <f t="shared" si="20"/>
        <v>Hide Row</v>
      </c>
    </row>
    <row r="93" spans="3:33" hidden="1">
      <c r="C93" s="58" t="s">
        <v>220</v>
      </c>
      <c r="E93" s="59">
        <f t="shared" si="18"/>
        <v>0</v>
      </c>
      <c r="F93" s="59">
        <v>0</v>
      </c>
      <c r="G93" s="59">
        <v>0</v>
      </c>
      <c r="H93" s="59">
        <v>0</v>
      </c>
      <c r="I93" s="59">
        <v>0</v>
      </c>
      <c r="J93" s="59">
        <v>0</v>
      </c>
      <c r="K93" s="59">
        <v>0</v>
      </c>
      <c r="L93" s="59">
        <v>0</v>
      </c>
      <c r="M93" s="59">
        <v>0</v>
      </c>
      <c r="N93" s="59">
        <v>0</v>
      </c>
      <c r="O93" s="59">
        <v>0</v>
      </c>
      <c r="P93" s="59">
        <v>0</v>
      </c>
      <c r="Q93" s="59">
        <v>0</v>
      </c>
      <c r="S93" s="51" t="b">
        <f t="shared" si="22"/>
        <v>1</v>
      </c>
      <c r="U93" s="60" t="e">
        <v>#N/A</v>
      </c>
      <c r="V93" s="51" t="s">
        <v>220</v>
      </c>
      <c r="W93" s="60"/>
      <c r="Y93" s="60"/>
      <c r="AA93" s="60"/>
      <c r="AC93" s="60"/>
      <c r="AG93" s="62" t="str">
        <f t="shared" si="20"/>
        <v>Hide Row</v>
      </c>
    </row>
    <row r="94" spans="3:33" hidden="1">
      <c r="C94" s="58" t="s">
        <v>221</v>
      </c>
      <c r="E94" s="59">
        <f t="shared" si="18"/>
        <v>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v>0</v>
      </c>
      <c r="Q94" s="59">
        <v>0</v>
      </c>
      <c r="S94" s="51" t="b">
        <f t="shared" si="22"/>
        <v>1</v>
      </c>
      <c r="U94" s="60" t="e">
        <v>#N/A</v>
      </c>
      <c r="V94" s="51" t="s">
        <v>222</v>
      </c>
      <c r="W94" s="60" t="e">
        <v>#N/A</v>
      </c>
      <c r="X94" s="51" t="s">
        <v>223</v>
      </c>
      <c r="Y94" s="60"/>
      <c r="AA94" s="60"/>
      <c r="AC94" s="60"/>
      <c r="AG94" s="62" t="str">
        <f t="shared" si="20"/>
        <v>Hide Row</v>
      </c>
    </row>
    <row r="95" spans="3:33" hidden="1">
      <c r="C95" s="58" t="s">
        <v>224</v>
      </c>
      <c r="E95" s="59">
        <f t="shared" si="18"/>
        <v>0</v>
      </c>
      <c r="F95" s="59">
        <v>0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59">
        <v>0</v>
      </c>
      <c r="Q95" s="59">
        <v>0</v>
      </c>
      <c r="S95" s="51" t="b">
        <f t="shared" si="22"/>
        <v>1</v>
      </c>
      <c r="U95" s="60" t="e">
        <v>#N/A</v>
      </c>
      <c r="V95" s="51" t="s">
        <v>225</v>
      </c>
      <c r="W95" s="60" t="e">
        <v>#N/A</v>
      </c>
      <c r="X95" s="51" t="s">
        <v>226</v>
      </c>
      <c r="Y95" s="60"/>
      <c r="AA95" s="60"/>
      <c r="AC95" s="60"/>
      <c r="AG95" s="62" t="str">
        <f t="shared" si="20"/>
        <v>Hide Row</v>
      </c>
    </row>
    <row r="96" spans="3:33" hidden="1">
      <c r="C96" s="58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U96" s="60"/>
      <c r="W96" s="60"/>
      <c r="Y96" s="60"/>
      <c r="Z96" s="63"/>
      <c r="AA96" s="61"/>
      <c r="AC96" s="60"/>
      <c r="AG96" s="62" t="str">
        <f t="shared" si="20"/>
        <v>Hide Row</v>
      </c>
    </row>
    <row r="97" spans="1:33">
      <c r="C97" s="58" t="s">
        <v>227</v>
      </c>
      <c r="E97" s="59">
        <f t="shared" si="18"/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59">
        <v>0</v>
      </c>
      <c r="P97" s="59">
        <v>0</v>
      </c>
      <c r="Q97" s="59">
        <v>0</v>
      </c>
      <c r="S97" s="51" t="b">
        <f t="shared" ref="S97:S108" si="23">C427=C97</f>
        <v>1</v>
      </c>
      <c r="U97" s="60" t="e">
        <v>#N/A</v>
      </c>
      <c r="V97" s="51" t="s">
        <v>228</v>
      </c>
      <c r="W97" s="60" t="e">
        <v>#N/A</v>
      </c>
      <c r="X97" s="53" t="s">
        <v>229</v>
      </c>
      <c r="Y97" s="60"/>
      <c r="AA97" s="60"/>
      <c r="AC97" s="60"/>
      <c r="AG97" s="62" t="str">
        <f t="shared" si="20"/>
        <v>Hide Row</v>
      </c>
    </row>
    <row r="98" spans="1:33">
      <c r="C98" s="58" t="s">
        <v>230</v>
      </c>
      <c r="E98" s="59">
        <f t="shared" si="18"/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S98" s="51" t="b">
        <f t="shared" si="23"/>
        <v>1</v>
      </c>
      <c r="U98" s="60" t="e">
        <v>#N/A</v>
      </c>
      <c r="V98" s="51" t="s">
        <v>231</v>
      </c>
      <c r="W98" s="60" t="e">
        <v>#N/A</v>
      </c>
      <c r="X98" s="51" t="s">
        <v>232</v>
      </c>
      <c r="Y98" s="60" t="e">
        <v>#N/A</v>
      </c>
      <c r="Z98" s="63" t="s">
        <v>233</v>
      </c>
      <c r="AA98" s="60" t="e">
        <v>#N/A</v>
      </c>
      <c r="AB98" s="63" t="s">
        <v>234</v>
      </c>
      <c r="AC98" s="60" t="e">
        <v>#N/A</v>
      </c>
      <c r="AD98" s="53" t="s">
        <v>235</v>
      </c>
      <c r="AE98" s="53"/>
      <c r="AF98" s="53"/>
      <c r="AG98" s="62" t="str">
        <f t="shared" si="20"/>
        <v>Hide Row</v>
      </c>
    </row>
    <row r="99" spans="1:33">
      <c r="C99" s="58" t="s">
        <v>236</v>
      </c>
      <c r="E99" s="59">
        <f t="shared" si="18"/>
        <v>235041.74400000004</v>
      </c>
      <c r="F99" s="59">
        <v>19586.812000000002</v>
      </c>
      <c r="G99" s="59">
        <v>19586.812000000002</v>
      </c>
      <c r="H99" s="59">
        <v>19586.812000000002</v>
      </c>
      <c r="I99" s="59">
        <v>19586.812000000002</v>
      </c>
      <c r="J99" s="59">
        <v>19586.812000000002</v>
      </c>
      <c r="K99" s="59">
        <v>19586.812000000002</v>
      </c>
      <c r="L99" s="59">
        <v>19586.812000000002</v>
      </c>
      <c r="M99" s="59">
        <v>19586.812000000002</v>
      </c>
      <c r="N99" s="59">
        <v>19586.812000000002</v>
      </c>
      <c r="O99" s="59">
        <v>19586.812000000002</v>
      </c>
      <c r="P99" s="59">
        <v>19586.812000000002</v>
      </c>
      <c r="Q99" s="59">
        <v>19586.812000000002</v>
      </c>
      <c r="S99" s="51" t="b">
        <f t="shared" si="23"/>
        <v>1</v>
      </c>
      <c r="U99" s="60">
        <v>29</v>
      </c>
      <c r="V99" s="51" t="s">
        <v>237</v>
      </c>
      <c r="W99" s="60" t="e">
        <v>#N/A</v>
      </c>
      <c r="X99" s="63" t="s">
        <v>238</v>
      </c>
      <c r="Y99" s="60"/>
      <c r="AA99" s="60"/>
      <c r="AC99" s="60"/>
      <c r="AG99" s="62" t="str">
        <f t="shared" si="20"/>
        <v/>
      </c>
    </row>
    <row r="100" spans="1:33">
      <c r="C100" s="58" t="s">
        <v>239</v>
      </c>
      <c r="E100" s="59">
        <f t="shared" si="18"/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59">
        <v>0</v>
      </c>
      <c r="Q100" s="59">
        <v>0</v>
      </c>
      <c r="S100" s="51" t="b">
        <f t="shared" si="23"/>
        <v>1</v>
      </c>
      <c r="U100" s="60" t="e">
        <v>#N/A</v>
      </c>
      <c r="V100" s="51" t="s">
        <v>240</v>
      </c>
      <c r="W100" s="60" t="e">
        <v>#N/A</v>
      </c>
      <c r="X100" s="63" t="s">
        <v>241</v>
      </c>
      <c r="Y100" s="60"/>
      <c r="AA100" s="60"/>
      <c r="AC100" s="60"/>
      <c r="AG100" s="62" t="str">
        <f t="shared" si="20"/>
        <v>Hide Row</v>
      </c>
    </row>
    <row r="101" spans="1:33" hidden="1">
      <c r="C101" s="58" t="s">
        <v>242</v>
      </c>
      <c r="E101" s="59">
        <f t="shared" si="18"/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S101" s="51" t="b">
        <f t="shared" si="23"/>
        <v>1</v>
      </c>
      <c r="U101" s="60" t="e">
        <v>#N/A</v>
      </c>
      <c r="V101" s="51" t="s">
        <v>243</v>
      </c>
      <c r="W101" s="60" t="e">
        <v>#N/A</v>
      </c>
      <c r="X101" s="51" t="s">
        <v>244</v>
      </c>
      <c r="Y101" s="60"/>
      <c r="AA101" s="60"/>
      <c r="AC101" s="60"/>
      <c r="AG101" s="62" t="str">
        <f t="shared" si="20"/>
        <v>Hide Row</v>
      </c>
    </row>
    <row r="102" spans="1:33">
      <c r="C102" s="58" t="s">
        <v>245</v>
      </c>
      <c r="E102" s="59">
        <f t="shared" si="18"/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S102" s="51" t="b">
        <f t="shared" si="23"/>
        <v>1</v>
      </c>
      <c r="U102" s="60" t="e">
        <v>#N/A</v>
      </c>
      <c r="V102" s="51" t="s">
        <v>245</v>
      </c>
      <c r="W102" s="60"/>
      <c r="Y102" s="60"/>
      <c r="AA102" s="60"/>
      <c r="AC102" s="60"/>
      <c r="AG102" s="62" t="str">
        <f t="shared" si="20"/>
        <v>Hide Row</v>
      </c>
    </row>
    <row r="103" spans="1:33">
      <c r="C103" s="58" t="s">
        <v>246</v>
      </c>
      <c r="E103" s="59">
        <f t="shared" si="18"/>
        <v>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S103" s="51" t="b">
        <f t="shared" si="23"/>
        <v>1</v>
      </c>
      <c r="U103" s="60">
        <v>38</v>
      </c>
      <c r="V103" s="51" t="s">
        <v>246</v>
      </c>
      <c r="W103" s="60"/>
      <c r="Y103" s="60"/>
      <c r="AA103" s="60"/>
      <c r="AC103" s="60"/>
      <c r="AG103" s="62" t="str">
        <f t="shared" si="20"/>
        <v/>
      </c>
    </row>
    <row r="104" spans="1:33">
      <c r="C104" s="58" t="s">
        <v>247</v>
      </c>
      <c r="E104" s="59">
        <f t="shared" si="18"/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59">
        <v>0</v>
      </c>
      <c r="Q104" s="59">
        <v>0</v>
      </c>
      <c r="S104" s="51" t="b">
        <f t="shared" si="23"/>
        <v>1</v>
      </c>
      <c r="U104" s="60" t="e">
        <v>#N/A</v>
      </c>
      <c r="V104" s="51" t="s">
        <v>248</v>
      </c>
      <c r="W104" s="60" t="e">
        <v>#N/A</v>
      </c>
      <c r="X104" s="51" t="s">
        <v>249</v>
      </c>
      <c r="Y104" s="60" t="e">
        <v>#N/A</v>
      </c>
      <c r="Z104" s="51" t="s">
        <v>250</v>
      </c>
      <c r="AA104" s="60"/>
      <c r="AC104" s="60"/>
      <c r="AG104" s="62" t="str">
        <f t="shared" si="20"/>
        <v>Hide Row</v>
      </c>
    </row>
    <row r="105" spans="1:33">
      <c r="C105" s="58" t="s">
        <v>251</v>
      </c>
      <c r="E105" s="59">
        <f t="shared" si="18"/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S105" s="51" t="b">
        <f t="shared" si="23"/>
        <v>1</v>
      </c>
      <c r="U105" s="60" t="e">
        <v>#N/A</v>
      </c>
      <c r="V105" s="51" t="s">
        <v>251</v>
      </c>
      <c r="W105" s="60" t="e">
        <v>#N/A</v>
      </c>
      <c r="X105" s="51" t="s">
        <v>252</v>
      </c>
      <c r="Y105" s="60"/>
      <c r="AA105" s="60"/>
      <c r="AC105" s="60"/>
      <c r="AG105" s="62" t="str">
        <f t="shared" si="20"/>
        <v>Hide Row</v>
      </c>
    </row>
    <row r="106" spans="1:33">
      <c r="C106" s="58" t="s">
        <v>253</v>
      </c>
      <c r="E106" s="59">
        <f>SUM(F106:Q106)</f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S106" s="51" t="b">
        <f t="shared" si="23"/>
        <v>1</v>
      </c>
      <c r="U106" s="60" t="e">
        <v>#N/A</v>
      </c>
      <c r="V106" s="51" t="s">
        <v>254</v>
      </c>
      <c r="W106" s="60"/>
      <c r="Y106" s="60"/>
      <c r="AA106" s="60"/>
      <c r="AC106" s="60"/>
      <c r="AG106" s="62" t="str">
        <f t="shared" si="20"/>
        <v>Hide Row</v>
      </c>
    </row>
    <row r="107" spans="1:33">
      <c r="C107" s="58" t="s">
        <v>255</v>
      </c>
      <c r="E107" s="59">
        <f>SUM(F107:Q107)</f>
        <v>0</v>
      </c>
      <c r="F107" s="65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5">
        <v>0</v>
      </c>
      <c r="O107" s="65">
        <v>0</v>
      </c>
      <c r="P107" s="65">
        <v>0</v>
      </c>
      <c r="Q107" s="65">
        <v>0</v>
      </c>
      <c r="S107" s="51" t="b">
        <f t="shared" si="23"/>
        <v>1</v>
      </c>
      <c r="U107" s="60" t="e">
        <v>#N/A</v>
      </c>
      <c r="V107" s="51" t="s">
        <v>255</v>
      </c>
      <c r="W107" s="61" t="e">
        <v>#N/A</v>
      </c>
      <c r="X107" s="51" t="s">
        <v>255</v>
      </c>
      <c r="Y107" s="61">
        <f>MATCH(Z107,$B$861:$B$874,0)</f>
        <v>10</v>
      </c>
      <c r="Z107" s="51" t="s">
        <v>255</v>
      </c>
      <c r="AA107" s="61" t="s">
        <v>256</v>
      </c>
      <c r="AC107" s="60"/>
      <c r="AG107" s="62" t="str">
        <f t="shared" si="20"/>
        <v/>
      </c>
    </row>
    <row r="108" spans="1:33">
      <c r="C108" s="58" t="s">
        <v>257</v>
      </c>
      <c r="E108" s="59">
        <f>SUM(F108:Q108)</f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S108" s="51" t="b">
        <f t="shared" si="23"/>
        <v>1</v>
      </c>
      <c r="U108" s="60" t="e">
        <v>#N/A</v>
      </c>
      <c r="V108" s="51" t="s">
        <v>258</v>
      </c>
      <c r="W108" s="60"/>
      <c r="Y108" s="60"/>
      <c r="AA108" s="60"/>
      <c r="AC108" s="60"/>
      <c r="AG108" s="62" t="str">
        <f t="shared" si="20"/>
        <v>Hide Row</v>
      </c>
    </row>
    <row r="109" spans="1:33" hidden="1">
      <c r="C109" s="58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U109" s="60" t="e">
        <v>#N/A</v>
      </c>
      <c r="W109" s="60"/>
      <c r="Y109" s="60"/>
      <c r="AA109" s="60"/>
      <c r="AC109" s="60"/>
      <c r="AG109" s="62" t="str">
        <f t="shared" si="20"/>
        <v>Hide Row</v>
      </c>
    </row>
    <row r="110" spans="1:33" s="84" customFormat="1" hidden="1">
      <c r="A110" s="83"/>
      <c r="C110" s="85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3"/>
      <c r="T110" s="86"/>
      <c r="U110" s="60" t="e">
        <v>#N/A</v>
      </c>
      <c r="AG110" s="62" t="str">
        <f t="shared" si="20"/>
        <v>Hide Row</v>
      </c>
    </row>
    <row r="111" spans="1:33" s="84" customFormat="1">
      <c r="A111" s="83"/>
      <c r="B111" s="84" t="str">
        <f>B70&amp;" Total"</f>
        <v>Long Term Firm Purchases Total</v>
      </c>
      <c r="C111" s="85"/>
      <c r="E111" s="59">
        <f>SUM(F111:Q111)</f>
        <v>93423201.032613575</v>
      </c>
      <c r="F111" s="59">
        <f t="shared" ref="F111:Q111" si="24">SUM(F71:F109)</f>
        <v>7361684.1340217562</v>
      </c>
      <c r="G111" s="59">
        <f t="shared" si="24"/>
        <v>5590962.8559333505</v>
      </c>
      <c r="H111" s="59">
        <f t="shared" si="24"/>
        <v>4977787.185960683</v>
      </c>
      <c r="I111" s="59">
        <f t="shared" si="24"/>
        <v>8501098.0673887823</v>
      </c>
      <c r="J111" s="59">
        <f t="shared" si="24"/>
        <v>8721266.7385823634</v>
      </c>
      <c r="K111" s="59">
        <f t="shared" si="24"/>
        <v>8016299.2042486882</v>
      </c>
      <c r="L111" s="59">
        <f t="shared" si="24"/>
        <v>8888812.7156627011</v>
      </c>
      <c r="M111" s="59">
        <f t="shared" si="24"/>
        <v>8657112.6652532835</v>
      </c>
      <c r="N111" s="59">
        <f t="shared" si="24"/>
        <v>8825108.4717602786</v>
      </c>
      <c r="O111" s="59">
        <f t="shared" si="24"/>
        <v>8398744.9807662908</v>
      </c>
      <c r="P111" s="59">
        <f t="shared" si="24"/>
        <v>7654029.8744727727</v>
      </c>
      <c r="Q111" s="59">
        <f t="shared" si="24"/>
        <v>7830294.138562616</v>
      </c>
      <c r="R111" s="53"/>
      <c r="T111" s="86"/>
      <c r="U111" s="60"/>
    </row>
    <row r="112" spans="1:33" s="84" customFormat="1">
      <c r="A112" s="83"/>
      <c r="C112" s="85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3"/>
      <c r="T112" s="86"/>
      <c r="U112" s="60"/>
    </row>
    <row r="113" spans="1:33" s="84" customFormat="1">
      <c r="A113" s="83"/>
      <c r="B113" s="84" t="s">
        <v>259</v>
      </c>
      <c r="C113" s="85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3"/>
      <c r="T113" s="86"/>
      <c r="U113" s="60"/>
    </row>
    <row r="114" spans="1:33" s="84" customFormat="1">
      <c r="A114" s="83"/>
      <c r="C114" s="58" t="s">
        <v>260</v>
      </c>
      <c r="E114" s="59">
        <f>SUM(F114:Q114)</f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3"/>
      <c r="T114" s="86"/>
      <c r="U114" s="60" t="e">
        <v>#N/A</v>
      </c>
      <c r="V114" s="51" t="s">
        <v>261</v>
      </c>
      <c r="W114" s="60"/>
      <c r="X114" s="51"/>
      <c r="Y114" s="60"/>
      <c r="Z114" s="51"/>
      <c r="AA114" s="60"/>
      <c r="AG114" s="62"/>
    </row>
    <row r="115" spans="1:33" s="84" customFormat="1" hidden="1">
      <c r="A115" s="83"/>
      <c r="C115" s="58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3"/>
      <c r="T115" s="86"/>
      <c r="U115" s="60"/>
      <c r="V115" s="51"/>
      <c r="W115" s="60"/>
      <c r="X115" s="51"/>
      <c r="Y115" s="60"/>
      <c r="Z115" s="51"/>
      <c r="AA115" s="60"/>
      <c r="AG115" s="62" t="str">
        <f t="shared" ref="AG115:AG120" si="25">IF(OR(ISNUMBER(U115),ISNUMBER(W115),ISNUMBER(Y115),ISNUMBER(AA115),ISNUMBER(AC115)),"","Hide Row")</f>
        <v>Hide Row</v>
      </c>
    </row>
    <row r="116" spans="1:33" s="84" customFormat="1" hidden="1">
      <c r="A116" s="83"/>
      <c r="C116" s="58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3"/>
      <c r="T116" s="86"/>
      <c r="U116" s="60"/>
      <c r="V116" s="51"/>
      <c r="W116" s="60"/>
      <c r="X116" s="51"/>
      <c r="Y116" s="60"/>
      <c r="Z116" s="51"/>
      <c r="AA116" s="60"/>
      <c r="AG116" s="62" t="str">
        <f t="shared" si="25"/>
        <v>Hide Row</v>
      </c>
    </row>
    <row r="117" spans="1:33" s="84" customFormat="1" hidden="1">
      <c r="A117" s="83"/>
      <c r="C117" s="58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3"/>
      <c r="T117" s="86"/>
      <c r="U117" s="60"/>
      <c r="V117" s="51"/>
      <c r="W117" s="60"/>
      <c r="X117" s="51"/>
      <c r="Y117" s="60"/>
      <c r="Z117" s="51"/>
      <c r="AA117" s="60"/>
      <c r="AG117" s="62" t="str">
        <f t="shared" si="25"/>
        <v>Hide Row</v>
      </c>
    </row>
    <row r="118" spans="1:33" s="84" customFormat="1" hidden="1">
      <c r="A118" s="83"/>
      <c r="C118" s="58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3"/>
      <c r="T118" s="86"/>
      <c r="U118" s="60"/>
      <c r="V118" s="51"/>
      <c r="W118" s="60"/>
      <c r="X118" s="51"/>
      <c r="Y118" s="60"/>
      <c r="Z118" s="51"/>
      <c r="AA118" s="60"/>
      <c r="AG118" s="62" t="str">
        <f t="shared" si="25"/>
        <v>Hide Row</v>
      </c>
    </row>
    <row r="119" spans="1:33" s="84" customFormat="1" hidden="1">
      <c r="A119" s="83"/>
      <c r="C119" s="58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3"/>
      <c r="T119" s="86"/>
      <c r="U119" s="60"/>
      <c r="V119" s="51"/>
      <c r="W119" s="60"/>
      <c r="X119" s="51"/>
      <c r="Y119" s="60"/>
      <c r="Z119" s="51"/>
      <c r="AA119" s="60"/>
      <c r="AG119" s="62" t="str">
        <f t="shared" si="25"/>
        <v>Hide Row</v>
      </c>
    </row>
    <row r="120" spans="1:33" hidden="1">
      <c r="C120" s="58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U120" s="60"/>
      <c r="W120" s="60"/>
      <c r="Y120" s="60"/>
      <c r="AA120" s="60"/>
      <c r="AC120" s="60"/>
      <c r="AG120" s="62" t="str">
        <f t="shared" si="25"/>
        <v>Hide Row</v>
      </c>
    </row>
    <row r="121" spans="1:33" s="84" customFormat="1">
      <c r="A121" s="83"/>
      <c r="C121" s="58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3"/>
      <c r="T121" s="86"/>
      <c r="V121" s="70"/>
      <c r="X121" s="70"/>
      <c r="Z121" s="70"/>
      <c r="AB121" s="70"/>
    </row>
    <row r="122" spans="1:33" s="84" customFormat="1">
      <c r="A122" s="83"/>
      <c r="B122" s="84" t="str">
        <f>B113&amp;" Total"</f>
        <v>Seasonal Purchased Power Total</v>
      </c>
      <c r="C122" s="58"/>
      <c r="E122" s="59">
        <f>SUM(F122:Q122)</f>
        <v>0</v>
      </c>
      <c r="F122" s="59">
        <f t="shared" ref="F122:Q122" si="26">SUM(F114:F120)</f>
        <v>0</v>
      </c>
      <c r="G122" s="59">
        <f t="shared" si="26"/>
        <v>0</v>
      </c>
      <c r="H122" s="59">
        <f t="shared" si="26"/>
        <v>0</v>
      </c>
      <c r="I122" s="59">
        <f t="shared" si="26"/>
        <v>0</v>
      </c>
      <c r="J122" s="59">
        <f t="shared" si="26"/>
        <v>0</v>
      </c>
      <c r="K122" s="59">
        <f t="shared" si="26"/>
        <v>0</v>
      </c>
      <c r="L122" s="59">
        <f t="shared" si="26"/>
        <v>0</v>
      </c>
      <c r="M122" s="59">
        <f t="shared" si="26"/>
        <v>0</v>
      </c>
      <c r="N122" s="59">
        <f t="shared" si="26"/>
        <v>0</v>
      </c>
      <c r="O122" s="59">
        <f t="shared" si="26"/>
        <v>0</v>
      </c>
      <c r="P122" s="59">
        <f t="shared" si="26"/>
        <v>0</v>
      </c>
      <c r="Q122" s="59">
        <f t="shared" si="26"/>
        <v>0</v>
      </c>
      <c r="R122" s="53"/>
      <c r="T122" s="86"/>
      <c r="V122" s="70"/>
      <c r="X122" s="70"/>
      <c r="Z122" s="70"/>
      <c r="AB122" s="70"/>
    </row>
    <row r="123" spans="1:33" s="84" customFormat="1">
      <c r="A123" s="83"/>
      <c r="C123" s="58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3"/>
      <c r="T123" s="86"/>
      <c r="V123" s="70"/>
      <c r="X123" s="70"/>
      <c r="Z123" s="70"/>
      <c r="AB123" s="70"/>
    </row>
    <row r="124" spans="1:33" s="84" customFormat="1">
      <c r="A124" s="83"/>
      <c r="B124" s="84" t="s">
        <v>262</v>
      </c>
      <c r="C124" s="85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3"/>
      <c r="T124" s="86"/>
      <c r="Z124" s="70"/>
      <c r="AA124" s="51"/>
      <c r="AB124" s="70"/>
    </row>
    <row r="125" spans="1:33" s="84" customFormat="1">
      <c r="A125" s="83"/>
      <c r="C125" s="85" t="s">
        <v>263</v>
      </c>
      <c r="E125" s="59">
        <f t="shared" ref="E125:E161" si="27">SUM(F125:Q125)</f>
        <v>0</v>
      </c>
      <c r="F125" s="59">
        <v>0</v>
      </c>
      <c r="G125" s="59">
        <v>0</v>
      </c>
      <c r="H125" s="59">
        <v>0</v>
      </c>
      <c r="I125" s="59">
        <v>0</v>
      </c>
      <c r="J125" s="59">
        <v>0</v>
      </c>
      <c r="K125" s="59">
        <v>0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Q125" s="59">
        <v>0</v>
      </c>
      <c r="R125" s="53"/>
      <c r="S125" s="51" t="b">
        <f t="shared" ref="S125:S130" si="28">C455=C125</f>
        <v>1</v>
      </c>
      <c r="T125" s="86"/>
      <c r="U125" s="60" t="e">
        <v>#N/A</v>
      </c>
      <c r="V125" s="84" t="s">
        <v>264</v>
      </c>
      <c r="W125" s="60" t="e">
        <v>#N/A</v>
      </c>
      <c r="X125" s="84" t="s">
        <v>265</v>
      </c>
      <c r="Y125" s="60" t="e">
        <v>#N/A</v>
      </c>
      <c r="Z125" s="84" t="s">
        <v>266</v>
      </c>
      <c r="AA125" s="60" t="e">
        <v>#N/A</v>
      </c>
      <c r="AB125" s="84" t="s">
        <v>267</v>
      </c>
      <c r="AC125" s="60" t="e">
        <v>#N/A</v>
      </c>
      <c r="AD125" s="84" t="s">
        <v>268</v>
      </c>
      <c r="AE125" s="51"/>
      <c r="AF125" s="51"/>
      <c r="AG125" s="62" t="str">
        <f t="shared" ref="AG125:AG162" si="29">IF(OR(ISNUMBER(U125),ISNUMBER(W125),ISNUMBER(Y125),ISNUMBER(AA125),ISNUMBER(AC125)),"","Hide Row")</f>
        <v>Hide Row</v>
      </c>
    </row>
    <row r="126" spans="1:33" s="84" customFormat="1">
      <c r="A126" s="83"/>
      <c r="C126" s="85" t="s">
        <v>269</v>
      </c>
      <c r="E126" s="59">
        <f t="shared" si="27"/>
        <v>0</v>
      </c>
      <c r="F126" s="59">
        <v>0</v>
      </c>
      <c r="G126" s="59">
        <v>0</v>
      </c>
      <c r="H126" s="59">
        <v>0</v>
      </c>
      <c r="I126" s="59">
        <v>0</v>
      </c>
      <c r="J126" s="59">
        <v>0</v>
      </c>
      <c r="K126" s="59">
        <v>0</v>
      </c>
      <c r="L126" s="59">
        <v>0</v>
      </c>
      <c r="M126" s="59">
        <v>0</v>
      </c>
      <c r="N126" s="59">
        <v>0</v>
      </c>
      <c r="O126" s="59">
        <v>0</v>
      </c>
      <c r="P126" s="59">
        <v>0</v>
      </c>
      <c r="Q126" s="59">
        <v>0</v>
      </c>
      <c r="R126" s="53"/>
      <c r="S126" s="51" t="b">
        <f t="shared" si="28"/>
        <v>1</v>
      </c>
      <c r="T126" s="86"/>
      <c r="U126" s="60" t="e">
        <v>#N/A</v>
      </c>
      <c r="V126" s="84" t="s">
        <v>270</v>
      </c>
      <c r="W126" s="60" t="e">
        <v>#N/A</v>
      </c>
      <c r="X126" s="84" t="s">
        <v>271</v>
      </c>
      <c r="Y126" s="60" t="e">
        <v>#N/A</v>
      </c>
      <c r="Z126" s="84" t="s">
        <v>272</v>
      </c>
      <c r="AA126" s="60" t="e">
        <v>#N/A</v>
      </c>
      <c r="AB126" s="84" t="s">
        <v>273</v>
      </c>
      <c r="AC126" s="60" t="e">
        <v>#N/A</v>
      </c>
      <c r="AD126" s="84" t="s">
        <v>274</v>
      </c>
      <c r="AE126" s="51"/>
      <c r="AF126" s="51"/>
      <c r="AG126" s="62" t="str">
        <f t="shared" si="29"/>
        <v>Hide Row</v>
      </c>
    </row>
    <row r="127" spans="1:33" s="84" customFormat="1">
      <c r="A127" s="83"/>
      <c r="C127" s="85" t="s">
        <v>275</v>
      </c>
      <c r="E127" s="59">
        <f t="shared" si="27"/>
        <v>0</v>
      </c>
      <c r="F127" s="59">
        <v>0</v>
      </c>
      <c r="G127" s="59">
        <v>0</v>
      </c>
      <c r="H127" s="59">
        <v>0</v>
      </c>
      <c r="I127" s="59">
        <v>0</v>
      </c>
      <c r="J127" s="59">
        <v>0</v>
      </c>
      <c r="K127" s="59">
        <v>0</v>
      </c>
      <c r="L127" s="59">
        <v>0</v>
      </c>
      <c r="M127" s="59">
        <v>0</v>
      </c>
      <c r="N127" s="59">
        <v>0</v>
      </c>
      <c r="O127" s="59">
        <v>0</v>
      </c>
      <c r="P127" s="59">
        <v>0</v>
      </c>
      <c r="Q127" s="59">
        <v>0</v>
      </c>
      <c r="R127" s="53"/>
      <c r="S127" s="51" t="b">
        <f t="shared" si="28"/>
        <v>1</v>
      </c>
      <c r="T127" s="86"/>
      <c r="U127" s="60" t="e">
        <v>#N/A</v>
      </c>
      <c r="V127" s="84" t="s">
        <v>276</v>
      </c>
      <c r="W127" s="60" t="e">
        <v>#N/A</v>
      </c>
      <c r="X127" s="84" t="s">
        <v>277</v>
      </c>
      <c r="Y127" s="60" t="e">
        <v>#N/A</v>
      </c>
      <c r="Z127" s="84" t="s">
        <v>278</v>
      </c>
      <c r="AA127" s="60" t="e">
        <v>#N/A</v>
      </c>
      <c r="AB127" s="84" t="s">
        <v>279</v>
      </c>
      <c r="AC127" s="60" t="e">
        <v>#N/A</v>
      </c>
      <c r="AD127" s="84" t="s">
        <v>280</v>
      </c>
      <c r="AE127" s="51"/>
      <c r="AF127" s="51"/>
      <c r="AG127" s="62" t="str">
        <f t="shared" si="29"/>
        <v>Hide Row</v>
      </c>
    </row>
    <row r="128" spans="1:33" s="84" customFormat="1">
      <c r="A128" s="83"/>
      <c r="C128" s="85" t="s">
        <v>281</v>
      </c>
      <c r="E128" s="59">
        <f t="shared" si="27"/>
        <v>0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59">
        <v>0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3"/>
      <c r="S128" s="51" t="b">
        <f t="shared" si="28"/>
        <v>1</v>
      </c>
      <c r="T128" s="86"/>
      <c r="U128" s="60" t="e">
        <v>#N/A</v>
      </c>
      <c r="V128" s="84" t="s">
        <v>282</v>
      </c>
      <c r="W128" s="60" t="e">
        <v>#N/A</v>
      </c>
      <c r="X128" s="84" t="s">
        <v>283</v>
      </c>
      <c r="Y128" s="60" t="e">
        <v>#N/A</v>
      </c>
      <c r="Z128" s="84" t="s">
        <v>284</v>
      </c>
      <c r="AA128" s="60" t="e">
        <v>#N/A</v>
      </c>
      <c r="AB128" s="84" t="s">
        <v>285</v>
      </c>
      <c r="AC128" s="60" t="e">
        <v>#N/A</v>
      </c>
      <c r="AD128" s="84" t="s">
        <v>286</v>
      </c>
      <c r="AE128" s="51"/>
      <c r="AF128" s="51"/>
      <c r="AG128" s="62" t="str">
        <f t="shared" si="29"/>
        <v>Hide Row</v>
      </c>
    </row>
    <row r="129" spans="1:33" s="84" customFormat="1">
      <c r="A129" s="83"/>
      <c r="C129" s="85" t="s">
        <v>287</v>
      </c>
      <c r="E129" s="59">
        <f t="shared" si="27"/>
        <v>579500.26299999992</v>
      </c>
      <c r="F129" s="59">
        <v>31351.687999999998</v>
      </c>
      <c r="G129" s="59">
        <v>47095.233999999997</v>
      </c>
      <c r="H129" s="59">
        <v>68316.66</v>
      </c>
      <c r="I129" s="59">
        <v>84596.36</v>
      </c>
      <c r="J129" s="59">
        <v>89106.516000000003</v>
      </c>
      <c r="K129" s="59">
        <v>76402.39</v>
      </c>
      <c r="L129" s="59">
        <v>43364.61</v>
      </c>
      <c r="M129" s="59">
        <v>27078.458999999999</v>
      </c>
      <c r="N129" s="59">
        <v>27022.248</v>
      </c>
      <c r="O129" s="59">
        <v>28402.613000000001</v>
      </c>
      <c r="P129" s="59">
        <v>28399.046999999999</v>
      </c>
      <c r="Q129" s="59">
        <v>28364.437999999998</v>
      </c>
      <c r="R129" s="53"/>
      <c r="S129" s="51" t="b">
        <f t="shared" si="28"/>
        <v>1</v>
      </c>
      <c r="T129" s="86"/>
      <c r="U129" s="60" t="e">
        <v>#N/A</v>
      </c>
      <c r="V129" s="84" t="s">
        <v>288</v>
      </c>
      <c r="W129" s="60" t="e">
        <v>#N/A</v>
      </c>
      <c r="X129" s="84" t="s">
        <v>289</v>
      </c>
      <c r="Y129" s="60">
        <v>44</v>
      </c>
      <c r="Z129" s="84" t="s">
        <v>290</v>
      </c>
      <c r="AA129" s="60">
        <v>42</v>
      </c>
      <c r="AB129" s="84" t="s">
        <v>291</v>
      </c>
      <c r="AC129" s="60">
        <v>43</v>
      </c>
      <c r="AD129" s="84" t="s">
        <v>292</v>
      </c>
      <c r="AE129" s="51"/>
      <c r="AF129" s="51"/>
      <c r="AG129" s="62" t="str">
        <f t="shared" si="29"/>
        <v/>
      </c>
    </row>
    <row r="130" spans="1:33" s="84" customFormat="1">
      <c r="A130" s="83"/>
      <c r="C130" s="85" t="s">
        <v>293</v>
      </c>
      <c r="E130" s="59">
        <f t="shared" si="27"/>
        <v>0</v>
      </c>
      <c r="F130" s="59">
        <v>0</v>
      </c>
      <c r="G130" s="59">
        <v>0</v>
      </c>
      <c r="H130" s="59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3"/>
      <c r="S130" s="51" t="b">
        <f t="shared" si="28"/>
        <v>1</v>
      </c>
      <c r="T130" s="86"/>
      <c r="U130" s="60" t="e">
        <v>#N/A</v>
      </c>
      <c r="V130" s="84" t="s">
        <v>294</v>
      </c>
      <c r="W130" s="60" t="e">
        <v>#N/A</v>
      </c>
      <c r="X130" s="84" t="s">
        <v>295</v>
      </c>
      <c r="Y130" s="60" t="e">
        <v>#N/A</v>
      </c>
      <c r="Z130" s="84" t="s">
        <v>296</v>
      </c>
      <c r="AA130" s="60" t="e">
        <v>#N/A</v>
      </c>
      <c r="AB130" s="84" t="s">
        <v>297</v>
      </c>
      <c r="AC130" s="60" t="e">
        <v>#N/A</v>
      </c>
      <c r="AD130" s="84" t="s">
        <v>298</v>
      </c>
      <c r="AE130" s="51"/>
      <c r="AF130" s="51"/>
      <c r="AG130" s="62" t="str">
        <f t="shared" si="29"/>
        <v>Hide Row</v>
      </c>
    </row>
    <row r="131" spans="1:33">
      <c r="C131" s="58" t="s">
        <v>299</v>
      </c>
      <c r="E131" s="59">
        <f t="shared" si="27"/>
        <v>0</v>
      </c>
      <c r="F131" s="59">
        <v>0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59">
        <v>0</v>
      </c>
      <c r="M131" s="59">
        <v>0</v>
      </c>
      <c r="N131" s="59">
        <v>0</v>
      </c>
      <c r="O131" s="59">
        <v>0</v>
      </c>
      <c r="P131" s="59">
        <v>0</v>
      </c>
      <c r="Q131" s="59">
        <v>0</v>
      </c>
      <c r="S131" s="51" t="e">
        <f>#REF!=C131</f>
        <v>#REF!</v>
      </c>
      <c r="U131" s="60" t="e">
        <v>#N/A</v>
      </c>
      <c r="V131" s="51" t="s">
        <v>300</v>
      </c>
      <c r="W131" s="60" t="e">
        <v>#N/A</v>
      </c>
      <c r="X131" s="51" t="s">
        <v>301</v>
      </c>
      <c r="Y131" s="60" t="e">
        <v>#N/A</v>
      </c>
      <c r="Z131" s="51" t="s">
        <v>299</v>
      </c>
      <c r="AA131" s="60"/>
      <c r="AC131" s="60"/>
      <c r="AG131" s="62" t="str">
        <f t="shared" si="29"/>
        <v>Hide Row</v>
      </c>
    </row>
    <row r="132" spans="1:33">
      <c r="C132" s="85" t="s">
        <v>302</v>
      </c>
      <c r="E132" s="59">
        <f t="shared" ref="E132" si="30">SUM(F132:Q132)</f>
        <v>0</v>
      </c>
      <c r="F132" s="59">
        <v>0</v>
      </c>
      <c r="G132" s="59">
        <v>0</v>
      </c>
      <c r="H132" s="59">
        <v>0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  <c r="S132" s="51" t="b">
        <f>C465=C132</f>
        <v>0</v>
      </c>
      <c r="U132" s="60" t="e">
        <v>#N/A</v>
      </c>
      <c r="V132" s="85" t="s">
        <v>303</v>
      </c>
      <c r="W132" s="60" t="e">
        <v>#N/A</v>
      </c>
      <c r="X132" s="51" t="s">
        <v>304</v>
      </c>
      <c r="Y132" s="60" t="e">
        <v>#N/A</v>
      </c>
      <c r="Z132" s="84" t="s">
        <v>305</v>
      </c>
      <c r="AA132" s="60" t="e">
        <v>#N/A</v>
      </c>
      <c r="AB132" s="84" t="s">
        <v>306</v>
      </c>
      <c r="AC132" s="60"/>
      <c r="AG132" s="62" t="str">
        <f t="shared" si="29"/>
        <v>Hide Row</v>
      </c>
    </row>
    <row r="133" spans="1:33">
      <c r="C133" s="85" t="s">
        <v>307</v>
      </c>
      <c r="E133" s="59">
        <f t="shared" ref="E133" si="31">SUM(F133:Q133)</f>
        <v>0</v>
      </c>
      <c r="F133" s="59">
        <v>0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0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S133" s="51" t="b">
        <f>C462=C133</f>
        <v>0</v>
      </c>
      <c r="U133" s="60" t="e">
        <v>#N/A</v>
      </c>
      <c r="V133" s="51" t="s">
        <v>307</v>
      </c>
      <c r="W133" s="60"/>
      <c r="Y133" s="60"/>
      <c r="Z133" s="84"/>
      <c r="AA133" s="60"/>
      <c r="AB133" s="84"/>
      <c r="AC133" s="60"/>
      <c r="AG133" s="62"/>
    </row>
    <row r="134" spans="1:33">
      <c r="C134" s="58" t="s">
        <v>308</v>
      </c>
      <c r="E134" s="59">
        <f>SUM(F134:Q134)</f>
        <v>0</v>
      </c>
      <c r="F134" s="59">
        <v>0</v>
      </c>
      <c r="G134" s="59">
        <v>0</v>
      </c>
      <c r="H134" s="59">
        <v>0</v>
      </c>
      <c r="I134" s="59">
        <v>0</v>
      </c>
      <c r="J134" s="59">
        <v>0</v>
      </c>
      <c r="K134" s="59">
        <v>0</v>
      </c>
      <c r="L134" s="59">
        <v>0</v>
      </c>
      <c r="M134" s="59">
        <v>0</v>
      </c>
      <c r="N134" s="59">
        <v>0</v>
      </c>
      <c r="O134" s="59">
        <v>0</v>
      </c>
      <c r="P134" s="59">
        <v>0</v>
      </c>
      <c r="Q134" s="59">
        <v>0</v>
      </c>
      <c r="S134" s="51" t="b">
        <f t="shared" ref="S134:S139" si="32">C464=C134</f>
        <v>1</v>
      </c>
      <c r="U134" s="60" t="e">
        <v>#N/A</v>
      </c>
      <c r="V134" s="51" t="s">
        <v>309</v>
      </c>
      <c r="W134" s="60"/>
      <c r="Y134" s="60"/>
      <c r="AA134" s="60"/>
      <c r="AC134" s="60"/>
      <c r="AG134" s="62" t="str">
        <f t="shared" si="29"/>
        <v>Hide Row</v>
      </c>
    </row>
    <row r="135" spans="1:33">
      <c r="C135" s="58" t="s">
        <v>310</v>
      </c>
      <c r="E135" s="59">
        <f t="shared" si="27"/>
        <v>0</v>
      </c>
      <c r="F135" s="59">
        <v>0</v>
      </c>
      <c r="G135" s="59">
        <v>0</v>
      </c>
      <c r="H135" s="59">
        <v>0</v>
      </c>
      <c r="I135" s="59">
        <v>0</v>
      </c>
      <c r="J135" s="59">
        <v>0</v>
      </c>
      <c r="K135" s="59">
        <v>0</v>
      </c>
      <c r="L135" s="59">
        <v>0</v>
      </c>
      <c r="M135" s="59">
        <v>0</v>
      </c>
      <c r="N135" s="59">
        <v>0</v>
      </c>
      <c r="O135" s="59">
        <v>0</v>
      </c>
      <c r="P135" s="59">
        <v>0</v>
      </c>
      <c r="Q135" s="59">
        <v>0</v>
      </c>
      <c r="S135" s="51" t="b">
        <f t="shared" si="32"/>
        <v>1</v>
      </c>
      <c r="U135" s="60" t="e">
        <v>#N/A</v>
      </c>
      <c r="V135" s="51" t="s">
        <v>311</v>
      </c>
      <c r="W135" s="60"/>
      <c r="Y135" s="60"/>
      <c r="AA135" s="61"/>
      <c r="AC135" s="60"/>
      <c r="AG135" s="62" t="str">
        <f t="shared" si="29"/>
        <v>Hide Row</v>
      </c>
    </row>
    <row r="136" spans="1:33">
      <c r="C136" s="58" t="s">
        <v>312</v>
      </c>
      <c r="E136" s="59">
        <f t="shared" si="27"/>
        <v>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0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S136" s="51" t="b">
        <f t="shared" si="32"/>
        <v>1</v>
      </c>
      <c r="U136" s="60" t="e">
        <v>#N/A</v>
      </c>
      <c r="V136" s="51" t="s">
        <v>313</v>
      </c>
      <c r="W136" s="60"/>
      <c r="Y136" s="60"/>
      <c r="AA136" s="61"/>
      <c r="AC136" s="60"/>
      <c r="AG136" s="62" t="str">
        <f t="shared" si="29"/>
        <v>Hide Row</v>
      </c>
    </row>
    <row r="137" spans="1:33">
      <c r="C137" s="58" t="s">
        <v>314</v>
      </c>
      <c r="E137" s="59">
        <f t="shared" si="27"/>
        <v>0</v>
      </c>
      <c r="F137" s="59">
        <v>0</v>
      </c>
      <c r="G137" s="59">
        <v>0</v>
      </c>
      <c r="H137" s="59">
        <v>0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S137" s="51" t="b">
        <f t="shared" si="32"/>
        <v>1</v>
      </c>
      <c r="U137" s="60" t="e">
        <v>#N/A</v>
      </c>
      <c r="V137" s="51" t="s">
        <v>315</v>
      </c>
      <c r="W137" s="60"/>
      <c r="Y137" s="60"/>
      <c r="AA137" s="60"/>
      <c r="AC137" s="60"/>
      <c r="AG137" s="62" t="str">
        <f t="shared" si="29"/>
        <v>Hide Row</v>
      </c>
    </row>
    <row r="138" spans="1:33">
      <c r="C138" s="58" t="s">
        <v>316</v>
      </c>
      <c r="E138" s="59">
        <f t="shared" si="27"/>
        <v>0</v>
      </c>
      <c r="F138" s="59">
        <v>0</v>
      </c>
      <c r="G138" s="59">
        <v>0</v>
      </c>
      <c r="H138" s="59">
        <v>0</v>
      </c>
      <c r="I138" s="59">
        <v>0</v>
      </c>
      <c r="J138" s="59">
        <v>0</v>
      </c>
      <c r="K138" s="59">
        <v>0</v>
      </c>
      <c r="L138" s="59">
        <v>0</v>
      </c>
      <c r="M138" s="59">
        <v>0</v>
      </c>
      <c r="N138" s="59">
        <v>0</v>
      </c>
      <c r="O138" s="59">
        <v>0</v>
      </c>
      <c r="P138" s="59">
        <v>0</v>
      </c>
      <c r="Q138" s="59">
        <v>0</v>
      </c>
      <c r="S138" s="51" t="b">
        <f t="shared" si="32"/>
        <v>1</v>
      </c>
      <c r="U138" s="60" t="e">
        <v>#N/A</v>
      </c>
      <c r="V138" s="51" t="s">
        <v>317</v>
      </c>
      <c r="W138" s="60"/>
      <c r="Y138" s="60"/>
      <c r="AA138" s="60"/>
      <c r="AC138" s="60"/>
      <c r="AG138" s="62" t="str">
        <f t="shared" si="29"/>
        <v>Hide Row</v>
      </c>
    </row>
    <row r="139" spans="1:33">
      <c r="C139" s="58" t="s">
        <v>318</v>
      </c>
      <c r="E139" s="59">
        <f t="shared" si="27"/>
        <v>0</v>
      </c>
      <c r="F139" s="59">
        <v>0</v>
      </c>
      <c r="G139" s="59">
        <v>0</v>
      </c>
      <c r="H139" s="59">
        <v>0</v>
      </c>
      <c r="I139" s="59">
        <v>0</v>
      </c>
      <c r="J139" s="59">
        <v>0</v>
      </c>
      <c r="K139" s="59">
        <v>0</v>
      </c>
      <c r="L139" s="59">
        <v>0</v>
      </c>
      <c r="M139" s="59">
        <v>0</v>
      </c>
      <c r="N139" s="59">
        <v>0</v>
      </c>
      <c r="O139" s="59">
        <v>0</v>
      </c>
      <c r="P139" s="59">
        <v>0</v>
      </c>
      <c r="Q139" s="59">
        <v>0</v>
      </c>
      <c r="S139" s="51" t="b">
        <f t="shared" si="32"/>
        <v>1</v>
      </c>
      <c r="U139" s="60" t="e">
        <v>#N/A</v>
      </c>
      <c r="V139" s="51" t="s">
        <v>319</v>
      </c>
      <c r="W139" s="60"/>
      <c r="Y139" s="60"/>
      <c r="AA139" s="60"/>
      <c r="AC139" s="60"/>
      <c r="AG139" s="62" t="str">
        <f t="shared" si="29"/>
        <v>Hide Row</v>
      </c>
    </row>
    <row r="140" spans="1:33">
      <c r="C140" s="58" t="s">
        <v>320</v>
      </c>
      <c r="E140" s="59">
        <f t="shared" ref="E140" si="33">SUM(F140:Q140)</f>
        <v>0</v>
      </c>
      <c r="F140" s="59">
        <v>0</v>
      </c>
      <c r="G140" s="59">
        <v>0</v>
      </c>
      <c r="H140" s="59">
        <v>0</v>
      </c>
      <c r="I140" s="59">
        <v>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59">
        <v>0</v>
      </c>
      <c r="P140" s="59">
        <v>0</v>
      </c>
      <c r="Q140" s="59">
        <v>0</v>
      </c>
      <c r="S140" s="51" t="b">
        <f>C471=C140</f>
        <v>0</v>
      </c>
      <c r="U140" s="60" t="e">
        <v>#N/A</v>
      </c>
      <c r="V140" s="51" t="s">
        <v>320</v>
      </c>
      <c r="W140" s="60"/>
      <c r="Y140" s="60"/>
      <c r="AA140" s="60"/>
      <c r="AC140" s="60"/>
      <c r="AG140" s="62" t="str">
        <f t="shared" si="29"/>
        <v>Hide Row</v>
      </c>
    </row>
    <row r="141" spans="1:33">
      <c r="C141" s="58" t="s">
        <v>321</v>
      </c>
      <c r="E141" s="59">
        <f t="shared" ref="E141" si="34">SUM(F141:Q141)</f>
        <v>0</v>
      </c>
      <c r="F141" s="59">
        <v>0</v>
      </c>
      <c r="G141" s="59">
        <v>0</v>
      </c>
      <c r="H141" s="59">
        <v>0</v>
      </c>
      <c r="I141" s="59">
        <v>0</v>
      </c>
      <c r="J141" s="59">
        <v>0</v>
      </c>
      <c r="K141" s="59">
        <v>0</v>
      </c>
      <c r="L141" s="59">
        <v>0</v>
      </c>
      <c r="M141" s="59">
        <v>0</v>
      </c>
      <c r="N141" s="59">
        <v>0</v>
      </c>
      <c r="O141" s="59">
        <v>0</v>
      </c>
      <c r="P141" s="59">
        <v>0</v>
      </c>
      <c r="Q141" s="59">
        <v>0</v>
      </c>
      <c r="S141" s="51" t="b">
        <f>C471=C141</f>
        <v>1</v>
      </c>
      <c r="U141" s="60" t="e">
        <v>#N/A</v>
      </c>
      <c r="V141" s="58" t="s">
        <v>321</v>
      </c>
      <c r="W141" s="60"/>
      <c r="Y141" s="60"/>
      <c r="AA141" s="60"/>
      <c r="AC141" s="60"/>
      <c r="AG141" s="62" t="str">
        <f t="shared" si="29"/>
        <v>Hide Row</v>
      </c>
    </row>
    <row r="142" spans="1:33">
      <c r="C142" s="58" t="s">
        <v>322</v>
      </c>
      <c r="E142" s="59">
        <f t="shared" si="27"/>
        <v>0</v>
      </c>
      <c r="F142" s="59">
        <v>0</v>
      </c>
      <c r="G142" s="59">
        <v>0</v>
      </c>
      <c r="H142" s="59">
        <v>0</v>
      </c>
      <c r="I142" s="59">
        <v>0</v>
      </c>
      <c r="J142" s="59">
        <v>0</v>
      </c>
      <c r="K142" s="59">
        <v>0</v>
      </c>
      <c r="L142" s="59">
        <v>0</v>
      </c>
      <c r="M142" s="59">
        <v>0</v>
      </c>
      <c r="N142" s="59">
        <v>0</v>
      </c>
      <c r="O142" s="59">
        <v>0</v>
      </c>
      <c r="P142" s="59">
        <v>0</v>
      </c>
      <c r="Q142" s="59">
        <v>0</v>
      </c>
      <c r="S142" s="51" t="b">
        <f>C472=C142</f>
        <v>1</v>
      </c>
      <c r="U142" s="60" t="e">
        <v>#N/A</v>
      </c>
      <c r="V142" s="58" t="s">
        <v>322</v>
      </c>
      <c r="W142" s="60" t="e">
        <v>#N/A</v>
      </c>
      <c r="X142" s="51" t="s">
        <v>323</v>
      </c>
      <c r="Y142" s="60"/>
      <c r="AA142" s="60"/>
      <c r="AC142" s="60"/>
      <c r="AG142" s="62" t="str">
        <f t="shared" si="29"/>
        <v>Hide Row</v>
      </c>
    </row>
    <row r="143" spans="1:33">
      <c r="C143" s="58" t="s">
        <v>324</v>
      </c>
      <c r="E143" s="59">
        <f t="shared" ref="E143:E145" si="35">SUM(F143:Q143)</f>
        <v>0</v>
      </c>
      <c r="F143" s="59">
        <v>0</v>
      </c>
      <c r="G143" s="59">
        <v>0</v>
      </c>
      <c r="H143" s="59">
        <v>0</v>
      </c>
      <c r="I143" s="59">
        <v>0</v>
      </c>
      <c r="J143" s="59">
        <v>0</v>
      </c>
      <c r="K143" s="59">
        <v>0</v>
      </c>
      <c r="L143" s="59">
        <v>0</v>
      </c>
      <c r="M143" s="59">
        <v>0</v>
      </c>
      <c r="N143" s="59">
        <v>0</v>
      </c>
      <c r="O143" s="59">
        <v>0</v>
      </c>
      <c r="P143" s="59">
        <v>0</v>
      </c>
      <c r="Q143" s="59">
        <v>0</v>
      </c>
      <c r="S143" s="51" t="b">
        <f>C472=C143</f>
        <v>0</v>
      </c>
      <c r="U143" s="60" t="e">
        <v>#N/A</v>
      </c>
      <c r="V143" s="51" t="s">
        <v>324</v>
      </c>
      <c r="W143" s="60"/>
      <c r="Y143" s="60"/>
      <c r="AA143" s="60"/>
      <c r="AC143" s="60"/>
      <c r="AG143" s="62"/>
    </row>
    <row r="144" spans="1:33">
      <c r="C144" s="58" t="s">
        <v>325</v>
      </c>
      <c r="E144" s="59">
        <f t="shared" si="35"/>
        <v>0</v>
      </c>
      <c r="F144" s="59">
        <v>0</v>
      </c>
      <c r="G144" s="59">
        <v>0</v>
      </c>
      <c r="H144" s="59">
        <v>0</v>
      </c>
      <c r="I144" s="59">
        <v>0</v>
      </c>
      <c r="J144" s="59">
        <v>0</v>
      </c>
      <c r="K144" s="59">
        <v>0</v>
      </c>
      <c r="L144" s="59">
        <v>0</v>
      </c>
      <c r="M144" s="59">
        <v>0</v>
      </c>
      <c r="N144" s="59">
        <v>0</v>
      </c>
      <c r="O144" s="59">
        <v>0</v>
      </c>
      <c r="P144" s="59">
        <v>0</v>
      </c>
      <c r="Q144" s="59">
        <v>0</v>
      </c>
      <c r="S144" s="51" t="b">
        <f>C476=C144</f>
        <v>0</v>
      </c>
      <c r="U144" s="60" t="e">
        <v>#N/A</v>
      </c>
      <c r="V144" s="51" t="s">
        <v>325</v>
      </c>
      <c r="W144" s="60"/>
      <c r="Y144" s="60"/>
      <c r="AA144" s="60"/>
      <c r="AC144" s="60"/>
      <c r="AG144" s="62"/>
    </row>
    <row r="145" spans="3:33">
      <c r="C145" s="58" t="s">
        <v>326</v>
      </c>
      <c r="E145" s="59">
        <f t="shared" si="35"/>
        <v>0</v>
      </c>
      <c r="F145" s="59">
        <v>0</v>
      </c>
      <c r="G145" s="59">
        <v>0</v>
      </c>
      <c r="H145" s="59">
        <v>0</v>
      </c>
      <c r="I145" s="59">
        <v>0</v>
      </c>
      <c r="J145" s="59">
        <v>0</v>
      </c>
      <c r="K145" s="59">
        <v>0</v>
      </c>
      <c r="L145" s="59">
        <v>0</v>
      </c>
      <c r="M145" s="59">
        <v>0</v>
      </c>
      <c r="N145" s="59">
        <v>0</v>
      </c>
      <c r="O145" s="59">
        <v>0</v>
      </c>
      <c r="P145" s="59">
        <v>0</v>
      </c>
      <c r="Q145" s="59">
        <v>0</v>
      </c>
      <c r="S145" s="51" t="b">
        <f>C477=C145</f>
        <v>0</v>
      </c>
      <c r="U145" s="60" t="e">
        <v>#N/A</v>
      </c>
      <c r="V145" s="51" t="s">
        <v>326</v>
      </c>
      <c r="W145" s="60"/>
      <c r="Y145" s="60"/>
      <c r="AA145" s="60"/>
      <c r="AC145" s="60"/>
      <c r="AG145" s="62"/>
    </row>
    <row r="146" spans="3:33">
      <c r="C146" s="87" t="s">
        <v>327</v>
      </c>
      <c r="E146" s="59">
        <f t="shared" si="27"/>
        <v>0</v>
      </c>
      <c r="F146" s="59">
        <v>0</v>
      </c>
      <c r="G146" s="59">
        <v>0</v>
      </c>
      <c r="H146" s="59">
        <v>0</v>
      </c>
      <c r="I146" s="59">
        <v>0</v>
      </c>
      <c r="J146" s="59">
        <v>0</v>
      </c>
      <c r="K146" s="59">
        <v>0</v>
      </c>
      <c r="L146" s="59">
        <v>0</v>
      </c>
      <c r="M146" s="59">
        <v>0</v>
      </c>
      <c r="N146" s="59">
        <v>0</v>
      </c>
      <c r="O146" s="59">
        <v>0</v>
      </c>
      <c r="P146" s="59">
        <v>0</v>
      </c>
      <c r="Q146" s="59">
        <v>0</v>
      </c>
      <c r="S146" s="51" t="b">
        <f>C476=C146</f>
        <v>1</v>
      </c>
      <c r="U146" s="60" t="e">
        <v>#N/A</v>
      </c>
      <c r="V146" s="88" t="s">
        <v>327</v>
      </c>
      <c r="W146" s="60"/>
      <c r="Y146" s="60"/>
      <c r="AA146" s="60"/>
      <c r="AC146" s="60"/>
      <c r="AG146" s="62" t="str">
        <f t="shared" si="29"/>
        <v>Hide Row</v>
      </c>
    </row>
    <row r="147" spans="3:33">
      <c r="C147" s="87" t="s">
        <v>328</v>
      </c>
      <c r="E147" s="59">
        <f t="shared" si="27"/>
        <v>0</v>
      </c>
      <c r="F147" s="59">
        <v>0</v>
      </c>
      <c r="G147" s="59">
        <v>0</v>
      </c>
      <c r="H147" s="59">
        <v>0</v>
      </c>
      <c r="I147" s="59">
        <v>0</v>
      </c>
      <c r="J147" s="59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v>0</v>
      </c>
      <c r="P147" s="59">
        <v>0</v>
      </c>
      <c r="Q147" s="59">
        <v>0</v>
      </c>
      <c r="S147" s="51" t="b">
        <f>C477=C147</f>
        <v>1</v>
      </c>
      <c r="U147" s="60" t="e">
        <v>#N/A</v>
      </c>
      <c r="V147" s="88" t="s">
        <v>328</v>
      </c>
      <c r="W147" s="60"/>
      <c r="Y147" s="60"/>
      <c r="AA147" s="60"/>
      <c r="AC147" s="60"/>
      <c r="AG147" s="62" t="str">
        <f t="shared" si="29"/>
        <v>Hide Row</v>
      </c>
    </row>
    <row r="148" spans="3:33">
      <c r="C148" s="58" t="s">
        <v>329</v>
      </c>
      <c r="E148" s="59">
        <f t="shared" ref="E148" si="36">SUM(F148:Q148)</f>
        <v>0</v>
      </c>
      <c r="F148" s="59">
        <v>0</v>
      </c>
      <c r="G148" s="59">
        <v>0</v>
      </c>
      <c r="H148" s="59">
        <v>0</v>
      </c>
      <c r="I148" s="59">
        <v>0</v>
      </c>
      <c r="J148" s="59">
        <v>0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59">
        <v>0</v>
      </c>
      <c r="Q148" s="59">
        <v>0</v>
      </c>
      <c r="S148" s="51" t="b">
        <f>C480=C148</f>
        <v>0</v>
      </c>
      <c r="U148" s="60" t="e">
        <v>#N/A</v>
      </c>
      <c r="V148" s="88" t="s">
        <v>329</v>
      </c>
      <c r="W148" s="60"/>
      <c r="Y148" s="60"/>
      <c r="AA148" s="60"/>
      <c r="AC148" s="60"/>
      <c r="AG148" s="62" t="str">
        <f t="shared" si="29"/>
        <v>Hide Row</v>
      </c>
    </row>
    <row r="149" spans="3:33">
      <c r="C149" s="58" t="s">
        <v>330</v>
      </c>
      <c r="E149" s="59">
        <f t="shared" ref="E149" si="37">SUM(F149:Q149)</f>
        <v>0</v>
      </c>
      <c r="F149" s="59">
        <v>0</v>
      </c>
      <c r="G149" s="59">
        <v>0</v>
      </c>
      <c r="H149" s="59">
        <v>0</v>
      </c>
      <c r="I149" s="59">
        <v>0</v>
      </c>
      <c r="J149" s="59">
        <v>0</v>
      </c>
      <c r="K149" s="59">
        <v>0</v>
      </c>
      <c r="L149" s="59">
        <v>0</v>
      </c>
      <c r="M149" s="59">
        <v>0</v>
      </c>
      <c r="N149" s="59">
        <v>0</v>
      </c>
      <c r="O149" s="59">
        <v>0</v>
      </c>
      <c r="P149" s="59">
        <v>0</v>
      </c>
      <c r="Q149" s="59">
        <v>0</v>
      </c>
      <c r="S149" s="51" t="b">
        <f>C480=C149</f>
        <v>0</v>
      </c>
      <c r="U149" s="60" t="e">
        <v>#N/A</v>
      </c>
      <c r="V149" s="58" t="s">
        <v>330</v>
      </c>
      <c r="W149" s="60"/>
      <c r="Y149" s="60"/>
      <c r="AA149" s="60"/>
      <c r="AC149" s="60"/>
      <c r="AG149" s="62"/>
    </row>
    <row r="150" spans="3:33">
      <c r="C150" s="58" t="s">
        <v>331</v>
      </c>
      <c r="E150" s="59">
        <f t="shared" si="27"/>
        <v>0</v>
      </c>
      <c r="F150" s="59">
        <v>0</v>
      </c>
      <c r="G150" s="59">
        <v>0</v>
      </c>
      <c r="H150" s="59">
        <v>0</v>
      </c>
      <c r="I150" s="59">
        <v>0</v>
      </c>
      <c r="J150" s="59">
        <v>0</v>
      </c>
      <c r="K150" s="59">
        <v>0</v>
      </c>
      <c r="L150" s="59">
        <v>0</v>
      </c>
      <c r="M150" s="59">
        <v>0</v>
      </c>
      <c r="N150" s="59">
        <v>0</v>
      </c>
      <c r="O150" s="59">
        <v>0</v>
      </c>
      <c r="P150" s="59">
        <v>0</v>
      </c>
      <c r="Q150" s="59">
        <v>0</v>
      </c>
      <c r="S150" s="51" t="b">
        <f t="shared" ref="S150:S161" si="38">C480=C150</f>
        <v>1</v>
      </c>
      <c r="U150" s="89" t="e">
        <v>#N/A</v>
      </c>
      <c r="V150" s="90" t="s">
        <v>331</v>
      </c>
      <c r="W150" s="60"/>
      <c r="Y150" s="60"/>
      <c r="AA150" s="60"/>
      <c r="AC150" s="60"/>
      <c r="AG150" s="62" t="str">
        <f t="shared" si="29"/>
        <v>Hide Row</v>
      </c>
    </row>
    <row r="151" spans="3:33">
      <c r="C151" s="58" t="s">
        <v>332</v>
      </c>
      <c r="E151" s="59">
        <f t="shared" ref="E151:E155" si="39">SUM(F151:Q151)</f>
        <v>0</v>
      </c>
      <c r="F151" s="59">
        <v>0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0</v>
      </c>
      <c r="M151" s="59">
        <v>0</v>
      </c>
      <c r="N151" s="59">
        <v>0</v>
      </c>
      <c r="O151" s="59">
        <v>0</v>
      </c>
      <c r="P151" s="59">
        <v>0</v>
      </c>
      <c r="Q151" s="59">
        <v>0</v>
      </c>
      <c r="S151" s="51" t="b">
        <f t="shared" si="38"/>
        <v>1</v>
      </c>
      <c r="U151" s="89" t="e">
        <v>#N/A</v>
      </c>
      <c r="V151" s="91" t="s">
        <v>332</v>
      </c>
      <c r="W151" s="60"/>
      <c r="Y151" s="60"/>
      <c r="AA151" s="60"/>
      <c r="AC151" s="60"/>
      <c r="AG151" s="62" t="str">
        <f t="shared" si="29"/>
        <v>Hide Row</v>
      </c>
    </row>
    <row r="152" spans="3:33">
      <c r="C152" s="58" t="s">
        <v>333</v>
      </c>
      <c r="E152" s="59">
        <f t="shared" si="39"/>
        <v>0</v>
      </c>
      <c r="F152" s="59">
        <v>0</v>
      </c>
      <c r="G152" s="59">
        <v>0</v>
      </c>
      <c r="H152" s="59">
        <v>0</v>
      </c>
      <c r="I152" s="59">
        <v>0</v>
      </c>
      <c r="J152" s="59">
        <v>0</v>
      </c>
      <c r="K152" s="59">
        <v>0</v>
      </c>
      <c r="L152" s="59">
        <v>0</v>
      </c>
      <c r="M152" s="59">
        <v>0</v>
      </c>
      <c r="N152" s="59">
        <v>0</v>
      </c>
      <c r="O152" s="59">
        <v>0</v>
      </c>
      <c r="P152" s="59">
        <v>0</v>
      </c>
      <c r="Q152" s="59">
        <v>0</v>
      </c>
      <c r="S152" s="51" t="b">
        <f t="shared" si="38"/>
        <v>1</v>
      </c>
      <c r="U152" s="89" t="e">
        <v>#N/A</v>
      </c>
      <c r="V152" s="91" t="s">
        <v>333</v>
      </c>
      <c r="W152" s="60"/>
      <c r="Y152" s="60"/>
      <c r="AA152" s="60"/>
      <c r="AC152" s="60"/>
      <c r="AG152" s="62" t="str">
        <f t="shared" si="29"/>
        <v>Hide Row</v>
      </c>
    </row>
    <row r="153" spans="3:33">
      <c r="C153" s="54" t="s">
        <v>334</v>
      </c>
      <c r="E153" s="59">
        <f t="shared" si="39"/>
        <v>0</v>
      </c>
      <c r="F153" s="59">
        <v>0</v>
      </c>
      <c r="G153" s="59">
        <v>0</v>
      </c>
      <c r="H153" s="59">
        <v>0</v>
      </c>
      <c r="I153" s="59">
        <v>0</v>
      </c>
      <c r="J153" s="59">
        <v>0</v>
      </c>
      <c r="K153" s="59">
        <v>0</v>
      </c>
      <c r="L153" s="59">
        <v>0</v>
      </c>
      <c r="M153" s="59">
        <v>0</v>
      </c>
      <c r="N153" s="59">
        <v>0</v>
      </c>
      <c r="O153" s="59">
        <v>0</v>
      </c>
      <c r="P153" s="59">
        <v>0</v>
      </c>
      <c r="Q153" s="59">
        <v>0</v>
      </c>
      <c r="S153" s="51" t="b">
        <f t="shared" si="38"/>
        <v>1</v>
      </c>
      <c r="U153" s="89" t="e">
        <v>#N/A</v>
      </c>
      <c r="V153" s="54" t="s">
        <v>334</v>
      </c>
      <c r="W153" s="60"/>
      <c r="Y153" s="60"/>
      <c r="AA153" s="60"/>
      <c r="AC153" s="60"/>
      <c r="AG153" s="62" t="str">
        <f t="shared" si="29"/>
        <v>Hide Row</v>
      </c>
    </row>
    <row r="154" spans="3:33">
      <c r="C154" s="54" t="s">
        <v>335</v>
      </c>
      <c r="E154" s="59">
        <f t="shared" si="39"/>
        <v>0</v>
      </c>
      <c r="F154" s="59">
        <v>0</v>
      </c>
      <c r="G154" s="59">
        <v>0</v>
      </c>
      <c r="H154" s="59">
        <v>0</v>
      </c>
      <c r="I154" s="59">
        <v>0</v>
      </c>
      <c r="J154" s="59">
        <v>0</v>
      </c>
      <c r="K154" s="59">
        <v>0</v>
      </c>
      <c r="L154" s="59">
        <v>0</v>
      </c>
      <c r="M154" s="59">
        <v>0</v>
      </c>
      <c r="N154" s="59">
        <v>0</v>
      </c>
      <c r="O154" s="59">
        <v>0</v>
      </c>
      <c r="P154" s="59">
        <v>0</v>
      </c>
      <c r="Q154" s="59">
        <v>0</v>
      </c>
      <c r="S154" s="51" t="b">
        <f t="shared" si="38"/>
        <v>1</v>
      </c>
      <c r="U154" s="89" t="e">
        <v>#N/A</v>
      </c>
      <c r="V154" s="54" t="s">
        <v>335</v>
      </c>
      <c r="W154" s="60"/>
      <c r="Y154" s="60"/>
      <c r="AA154" s="60"/>
      <c r="AC154" s="60"/>
      <c r="AG154" s="62" t="str">
        <f t="shared" si="29"/>
        <v>Hide Row</v>
      </c>
    </row>
    <row r="155" spans="3:33">
      <c r="C155" s="54" t="s">
        <v>336</v>
      </c>
      <c r="E155" s="59">
        <f t="shared" si="39"/>
        <v>0</v>
      </c>
      <c r="F155" s="59">
        <v>0</v>
      </c>
      <c r="G155" s="59">
        <v>0</v>
      </c>
      <c r="H155" s="59">
        <v>0</v>
      </c>
      <c r="I155" s="59">
        <v>0</v>
      </c>
      <c r="J155" s="59">
        <v>0</v>
      </c>
      <c r="K155" s="59">
        <v>0</v>
      </c>
      <c r="L155" s="59">
        <v>0</v>
      </c>
      <c r="M155" s="59">
        <v>0</v>
      </c>
      <c r="N155" s="59">
        <v>0</v>
      </c>
      <c r="O155" s="59">
        <v>0</v>
      </c>
      <c r="P155" s="59">
        <v>0</v>
      </c>
      <c r="Q155" s="59">
        <v>0</v>
      </c>
      <c r="S155" s="51" t="b">
        <f t="shared" si="38"/>
        <v>1</v>
      </c>
      <c r="U155" s="89" t="e">
        <v>#N/A</v>
      </c>
      <c r="V155" s="54" t="s">
        <v>336</v>
      </c>
      <c r="W155" s="60"/>
      <c r="Y155" s="60"/>
      <c r="AA155" s="60"/>
      <c r="AC155" s="60"/>
      <c r="AG155" s="62" t="str">
        <f t="shared" si="29"/>
        <v>Hide Row</v>
      </c>
    </row>
    <row r="156" spans="3:33">
      <c r="C156" s="58" t="s">
        <v>337</v>
      </c>
      <c r="E156" s="59">
        <f t="shared" si="27"/>
        <v>0</v>
      </c>
      <c r="F156" s="59">
        <v>0</v>
      </c>
      <c r="G156" s="59">
        <v>0</v>
      </c>
      <c r="H156" s="59">
        <v>0</v>
      </c>
      <c r="I156" s="59">
        <v>0</v>
      </c>
      <c r="J156" s="59">
        <v>0</v>
      </c>
      <c r="K156" s="59">
        <v>0</v>
      </c>
      <c r="L156" s="59">
        <v>0</v>
      </c>
      <c r="M156" s="59">
        <v>0</v>
      </c>
      <c r="N156" s="59">
        <v>0</v>
      </c>
      <c r="O156" s="59">
        <v>0</v>
      </c>
      <c r="P156" s="59">
        <v>0</v>
      </c>
      <c r="Q156" s="59">
        <v>0</v>
      </c>
      <c r="S156" s="51" t="b">
        <f t="shared" si="38"/>
        <v>1</v>
      </c>
      <c r="U156" s="60" t="e">
        <v>#N/A</v>
      </c>
      <c r="V156" s="51" t="s">
        <v>338</v>
      </c>
      <c r="W156" s="60"/>
      <c r="Y156" s="60"/>
      <c r="AA156" s="60"/>
      <c r="AC156" s="60"/>
      <c r="AG156" s="62" t="str">
        <f t="shared" si="29"/>
        <v>Hide Row</v>
      </c>
    </row>
    <row r="157" spans="3:33">
      <c r="C157" s="58" t="s">
        <v>339</v>
      </c>
      <c r="E157" s="59">
        <f t="shared" si="27"/>
        <v>0</v>
      </c>
      <c r="F157" s="59">
        <v>0</v>
      </c>
      <c r="G157" s="59">
        <v>0</v>
      </c>
      <c r="H157" s="59">
        <v>0</v>
      </c>
      <c r="I157" s="59">
        <v>0</v>
      </c>
      <c r="J157" s="59">
        <v>0</v>
      </c>
      <c r="K157" s="59">
        <v>0</v>
      </c>
      <c r="L157" s="59">
        <v>0</v>
      </c>
      <c r="M157" s="59">
        <v>0</v>
      </c>
      <c r="N157" s="59">
        <v>0</v>
      </c>
      <c r="O157" s="59">
        <v>0</v>
      </c>
      <c r="P157" s="59">
        <v>0</v>
      </c>
      <c r="Q157" s="59">
        <v>0</v>
      </c>
      <c r="S157" s="51" t="b">
        <f t="shared" si="38"/>
        <v>1</v>
      </c>
      <c r="U157" s="60" t="e">
        <v>#N/A</v>
      </c>
      <c r="V157" s="51" t="s">
        <v>340</v>
      </c>
      <c r="W157" s="60"/>
      <c r="Y157" s="60"/>
      <c r="AA157" s="60"/>
      <c r="AC157" s="60"/>
      <c r="AG157" s="62" t="str">
        <f t="shared" si="29"/>
        <v>Hide Row</v>
      </c>
    </row>
    <row r="158" spans="3:33">
      <c r="C158" s="58" t="s">
        <v>341</v>
      </c>
      <c r="E158" s="59">
        <f t="shared" si="27"/>
        <v>0</v>
      </c>
      <c r="F158" s="59">
        <v>0</v>
      </c>
      <c r="G158" s="59">
        <v>0</v>
      </c>
      <c r="H158" s="59">
        <v>0</v>
      </c>
      <c r="I158" s="59">
        <v>0</v>
      </c>
      <c r="J158" s="59">
        <v>0</v>
      </c>
      <c r="K158" s="59">
        <v>0</v>
      </c>
      <c r="L158" s="59">
        <v>0</v>
      </c>
      <c r="M158" s="59">
        <v>0</v>
      </c>
      <c r="N158" s="59">
        <v>0</v>
      </c>
      <c r="O158" s="59">
        <v>0</v>
      </c>
      <c r="P158" s="59">
        <v>0</v>
      </c>
      <c r="Q158" s="59">
        <v>0</v>
      </c>
      <c r="S158" s="51" t="b">
        <f t="shared" si="38"/>
        <v>1</v>
      </c>
      <c r="U158" s="60" t="e">
        <v>#N/A</v>
      </c>
      <c r="V158" s="51" t="s">
        <v>342</v>
      </c>
      <c r="W158" s="60" t="e">
        <v>#N/A</v>
      </c>
      <c r="X158" s="51" t="s">
        <v>343</v>
      </c>
      <c r="Y158" s="60"/>
      <c r="AA158" s="60"/>
      <c r="AC158" s="60"/>
      <c r="AG158" s="62" t="str">
        <f t="shared" si="29"/>
        <v>Hide Row</v>
      </c>
    </row>
    <row r="159" spans="3:33">
      <c r="C159" s="58" t="s">
        <v>344</v>
      </c>
      <c r="E159" s="59">
        <f t="shared" si="27"/>
        <v>0</v>
      </c>
      <c r="F159" s="59">
        <v>0</v>
      </c>
      <c r="G159" s="59">
        <v>0</v>
      </c>
      <c r="H159" s="59">
        <v>0</v>
      </c>
      <c r="I159" s="59">
        <v>0</v>
      </c>
      <c r="J159" s="59">
        <v>0</v>
      </c>
      <c r="K159" s="59">
        <v>0</v>
      </c>
      <c r="L159" s="59">
        <v>0</v>
      </c>
      <c r="M159" s="59">
        <v>0</v>
      </c>
      <c r="N159" s="59">
        <v>0</v>
      </c>
      <c r="O159" s="59">
        <v>0</v>
      </c>
      <c r="P159" s="59">
        <v>0</v>
      </c>
      <c r="Q159" s="59">
        <v>0</v>
      </c>
      <c r="S159" s="51" t="b">
        <f t="shared" si="38"/>
        <v>1</v>
      </c>
      <c r="U159" s="60" t="e">
        <v>#N/A</v>
      </c>
      <c r="V159" s="51" t="s">
        <v>344</v>
      </c>
      <c r="W159" s="60"/>
      <c r="Y159" s="60"/>
      <c r="AA159" s="60"/>
      <c r="AC159" s="60"/>
      <c r="AG159" s="62" t="str">
        <f t="shared" si="29"/>
        <v>Hide Row</v>
      </c>
    </row>
    <row r="160" spans="3:33">
      <c r="C160" s="58" t="s">
        <v>345</v>
      </c>
      <c r="E160" s="59">
        <f t="shared" ref="E160" si="40">SUM(F160:Q160)</f>
        <v>0</v>
      </c>
      <c r="F160" s="59">
        <v>0</v>
      </c>
      <c r="G160" s="59">
        <v>0</v>
      </c>
      <c r="H160" s="59">
        <v>0</v>
      </c>
      <c r="I160" s="59">
        <v>0</v>
      </c>
      <c r="J160" s="59">
        <v>0</v>
      </c>
      <c r="K160" s="59">
        <v>0</v>
      </c>
      <c r="L160" s="59">
        <v>0</v>
      </c>
      <c r="M160" s="59">
        <v>0</v>
      </c>
      <c r="N160" s="59">
        <v>0</v>
      </c>
      <c r="O160" s="59">
        <v>0</v>
      </c>
      <c r="P160" s="59">
        <v>0</v>
      </c>
      <c r="Q160" s="59">
        <v>0</v>
      </c>
      <c r="S160" s="51" t="b">
        <f t="shared" si="38"/>
        <v>1</v>
      </c>
      <c r="U160" s="60" t="e">
        <v>#N/A</v>
      </c>
      <c r="V160" s="58" t="s">
        <v>345</v>
      </c>
      <c r="W160" s="60"/>
      <c r="Y160" s="60"/>
      <c r="AA160" s="60"/>
      <c r="AC160" s="60"/>
      <c r="AG160" s="62" t="str">
        <f t="shared" si="29"/>
        <v>Hide Row</v>
      </c>
    </row>
    <row r="161" spans="1:33">
      <c r="C161" s="58" t="s">
        <v>346</v>
      </c>
      <c r="E161" s="59">
        <f t="shared" si="27"/>
        <v>0</v>
      </c>
      <c r="F161" s="59">
        <v>0</v>
      </c>
      <c r="G161" s="59">
        <v>0</v>
      </c>
      <c r="H161" s="59">
        <v>0</v>
      </c>
      <c r="I161" s="59">
        <v>0</v>
      </c>
      <c r="J161" s="59">
        <v>0</v>
      </c>
      <c r="K161" s="59">
        <v>0</v>
      </c>
      <c r="L161" s="59">
        <v>0</v>
      </c>
      <c r="M161" s="59">
        <v>0</v>
      </c>
      <c r="N161" s="59">
        <v>0</v>
      </c>
      <c r="O161" s="59">
        <v>0</v>
      </c>
      <c r="P161" s="59">
        <v>0</v>
      </c>
      <c r="Q161" s="59">
        <v>0</v>
      </c>
      <c r="S161" s="51" t="b">
        <f t="shared" si="38"/>
        <v>1</v>
      </c>
      <c r="U161" s="60" t="e">
        <v>#N/A</v>
      </c>
      <c r="V161" s="51" t="s">
        <v>346</v>
      </c>
      <c r="W161" s="60"/>
      <c r="Y161" s="60"/>
      <c r="AA161" s="60"/>
      <c r="AC161" s="60"/>
      <c r="AG161" s="62" t="str">
        <f t="shared" si="29"/>
        <v>Hide Row</v>
      </c>
    </row>
    <row r="162" spans="1:33">
      <c r="C162" s="58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U162" s="60"/>
      <c r="W162" s="60"/>
      <c r="Y162" s="60"/>
      <c r="AA162" s="60"/>
      <c r="AC162" s="60"/>
      <c r="AG162" s="62" t="str">
        <f t="shared" si="29"/>
        <v>Hide Row</v>
      </c>
    </row>
    <row r="163" spans="1:33" s="84" customFormat="1">
      <c r="A163" s="83"/>
      <c r="C163" s="85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3"/>
      <c r="T163" s="86"/>
    </row>
    <row r="164" spans="1:33" s="84" customFormat="1">
      <c r="A164" s="83"/>
      <c r="B164" s="84" t="str">
        <f>B124&amp;" Total"</f>
        <v>Qualifying Facilities Total</v>
      </c>
      <c r="C164" s="85"/>
      <c r="E164" s="59">
        <f>SUM(F164:Q164)</f>
        <v>579500.26299999992</v>
      </c>
      <c r="F164" s="59">
        <f t="shared" ref="F164:Q164" si="41">SUM(F125:F162)</f>
        <v>31351.687999999998</v>
      </c>
      <c r="G164" s="59">
        <f t="shared" si="41"/>
        <v>47095.233999999997</v>
      </c>
      <c r="H164" s="59">
        <f t="shared" si="41"/>
        <v>68316.66</v>
      </c>
      <c r="I164" s="59">
        <f t="shared" si="41"/>
        <v>84596.36</v>
      </c>
      <c r="J164" s="59">
        <f t="shared" si="41"/>
        <v>89106.516000000003</v>
      </c>
      <c r="K164" s="59">
        <f t="shared" si="41"/>
        <v>76402.39</v>
      </c>
      <c r="L164" s="59">
        <f t="shared" si="41"/>
        <v>43364.61</v>
      </c>
      <c r="M164" s="59">
        <f t="shared" si="41"/>
        <v>27078.458999999999</v>
      </c>
      <c r="N164" s="59">
        <f t="shared" si="41"/>
        <v>27022.248</v>
      </c>
      <c r="O164" s="59">
        <f t="shared" si="41"/>
        <v>28402.613000000001</v>
      </c>
      <c r="P164" s="59">
        <f t="shared" si="41"/>
        <v>28399.046999999999</v>
      </c>
      <c r="Q164" s="59">
        <f t="shared" si="41"/>
        <v>28364.437999999998</v>
      </c>
      <c r="R164" s="53"/>
      <c r="T164" s="86"/>
    </row>
    <row r="165" spans="1:33" s="84" customFormat="1">
      <c r="A165" s="83"/>
      <c r="C165" s="85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3"/>
      <c r="T165" s="86"/>
    </row>
    <row r="166" spans="1:33" s="84" customFormat="1">
      <c r="A166" s="83"/>
      <c r="B166" s="84" t="s">
        <v>347</v>
      </c>
      <c r="C166" s="85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3"/>
      <c r="T166" s="86"/>
    </row>
    <row r="167" spans="1:33" hidden="1">
      <c r="C167" s="58" t="s">
        <v>348</v>
      </c>
      <c r="E167" s="59">
        <f t="shared" ref="E167:E173" si="42">SUM(F167:Q167)</f>
        <v>0</v>
      </c>
      <c r="F167" s="59">
        <v>0</v>
      </c>
      <c r="G167" s="59">
        <v>0</v>
      </c>
      <c r="H167" s="59">
        <v>0</v>
      </c>
      <c r="I167" s="59">
        <v>0</v>
      </c>
      <c r="J167" s="59">
        <v>0</v>
      </c>
      <c r="K167" s="59">
        <v>0</v>
      </c>
      <c r="L167" s="59">
        <v>0</v>
      </c>
      <c r="M167" s="59">
        <v>0</v>
      </c>
      <c r="N167" s="59">
        <v>0</v>
      </c>
      <c r="O167" s="59">
        <v>0</v>
      </c>
      <c r="P167" s="59">
        <v>0</v>
      </c>
      <c r="Q167" s="59">
        <v>0</v>
      </c>
      <c r="R167" s="92"/>
      <c r="S167" s="51" t="b">
        <f t="shared" ref="S167:S175" si="43">C497=C167</f>
        <v>1</v>
      </c>
      <c r="U167" s="60" t="e">
        <v>#N/A</v>
      </c>
      <c r="V167" s="51" t="s">
        <v>349</v>
      </c>
      <c r="W167" s="60"/>
      <c r="Y167" s="60"/>
      <c r="AA167" s="60"/>
      <c r="AC167" s="60"/>
      <c r="AG167" s="62" t="str">
        <f t="shared" ref="AG167:AG176" si="44">IF(OR(ISNUMBER(U167),ISNUMBER(W167),ISNUMBER(Y167),ISNUMBER(AA167),ISNUMBER(AC167)),"","Hide Row")</f>
        <v>Hide Row</v>
      </c>
    </row>
    <row r="168" spans="1:33" s="84" customFormat="1" hidden="1">
      <c r="A168" s="83"/>
      <c r="C168" s="85" t="s">
        <v>350</v>
      </c>
      <c r="E168" s="59">
        <f t="shared" si="42"/>
        <v>0</v>
      </c>
      <c r="F168" s="59">
        <v>0</v>
      </c>
      <c r="G168" s="59">
        <v>0</v>
      </c>
      <c r="H168" s="59">
        <v>0</v>
      </c>
      <c r="I168" s="59">
        <v>0</v>
      </c>
      <c r="J168" s="59">
        <v>0</v>
      </c>
      <c r="K168" s="59">
        <v>0</v>
      </c>
      <c r="L168" s="59">
        <v>0</v>
      </c>
      <c r="M168" s="59">
        <v>0</v>
      </c>
      <c r="N168" s="59">
        <v>0</v>
      </c>
      <c r="O168" s="59">
        <v>0</v>
      </c>
      <c r="P168" s="59">
        <v>0</v>
      </c>
      <c r="Q168" s="59">
        <v>0</v>
      </c>
      <c r="R168" s="53"/>
      <c r="S168" s="51" t="b">
        <f t="shared" si="43"/>
        <v>1</v>
      </c>
      <c r="T168" s="54"/>
      <c r="U168" s="60" t="e">
        <v>#N/A</v>
      </c>
      <c r="V168" s="63" t="s">
        <v>351</v>
      </c>
      <c r="W168" s="60"/>
      <c r="X168" s="51"/>
      <c r="Y168" s="60"/>
      <c r="Z168" s="51"/>
      <c r="AA168" s="60"/>
      <c r="AB168" s="51"/>
      <c r="AC168" s="61"/>
      <c r="AD168" s="51"/>
      <c r="AE168" s="51"/>
      <c r="AF168" s="51"/>
      <c r="AG168" s="62" t="str">
        <f t="shared" si="44"/>
        <v>Hide Row</v>
      </c>
    </row>
    <row r="169" spans="1:33" s="84" customFormat="1">
      <c r="A169" s="83"/>
      <c r="C169" s="85" t="s">
        <v>352</v>
      </c>
      <c r="E169" s="59">
        <f t="shared" si="42"/>
        <v>3686109.2500000009</v>
      </c>
      <c r="F169" s="59">
        <v>304430.46999999997</v>
      </c>
      <c r="G169" s="59">
        <v>304430.46999999997</v>
      </c>
      <c r="H169" s="59">
        <v>304430.46999999997</v>
      </c>
      <c r="I169" s="59">
        <v>304430.46999999997</v>
      </c>
      <c r="J169" s="59">
        <v>304430.46999999997</v>
      </c>
      <c r="K169" s="59">
        <v>309136.7</v>
      </c>
      <c r="L169" s="59">
        <v>309136.7</v>
      </c>
      <c r="M169" s="59">
        <v>309136.7</v>
      </c>
      <c r="N169" s="59">
        <v>309136.7</v>
      </c>
      <c r="O169" s="59">
        <v>309136.7</v>
      </c>
      <c r="P169" s="59">
        <v>309136.7</v>
      </c>
      <c r="Q169" s="59">
        <v>309136.7</v>
      </c>
      <c r="R169" s="53"/>
      <c r="S169" s="51" t="b">
        <f t="shared" si="43"/>
        <v>1</v>
      </c>
      <c r="T169" s="54"/>
      <c r="U169" s="60">
        <v>4</v>
      </c>
      <c r="V169" s="63" t="s">
        <v>353</v>
      </c>
      <c r="W169" s="60"/>
      <c r="X169" s="51"/>
      <c r="Y169" s="60" t="e">
        <v>#N/A</v>
      </c>
      <c r="Z169" s="51" t="s">
        <v>354</v>
      </c>
      <c r="AA169" s="60"/>
      <c r="AB169" s="51"/>
      <c r="AC169" s="61"/>
      <c r="AD169" s="51"/>
      <c r="AE169" s="51"/>
      <c r="AF169" s="51"/>
      <c r="AG169" s="62" t="str">
        <f t="shared" si="44"/>
        <v/>
      </c>
    </row>
    <row r="170" spans="1:33" hidden="1">
      <c r="C170" s="58" t="s">
        <v>355</v>
      </c>
      <c r="E170" s="59">
        <f t="shared" si="42"/>
        <v>0</v>
      </c>
      <c r="F170" s="59">
        <v>0</v>
      </c>
      <c r="G170" s="59">
        <v>0</v>
      </c>
      <c r="H170" s="59">
        <v>0</v>
      </c>
      <c r="I170" s="59">
        <v>0</v>
      </c>
      <c r="J170" s="59">
        <v>0</v>
      </c>
      <c r="K170" s="59">
        <v>0</v>
      </c>
      <c r="L170" s="59">
        <v>0</v>
      </c>
      <c r="M170" s="59">
        <v>0</v>
      </c>
      <c r="N170" s="59">
        <v>0</v>
      </c>
      <c r="O170" s="59">
        <v>0</v>
      </c>
      <c r="P170" s="59">
        <v>0</v>
      </c>
      <c r="Q170" s="59">
        <v>0</v>
      </c>
      <c r="S170" s="51" t="b">
        <f t="shared" si="43"/>
        <v>1</v>
      </c>
      <c r="U170" s="60" t="e">
        <v>#N/A</v>
      </c>
      <c r="V170" s="51" t="s">
        <v>356</v>
      </c>
      <c r="W170" s="60"/>
      <c r="Y170" s="60"/>
      <c r="AA170" s="60"/>
      <c r="AC170" s="60"/>
      <c r="AG170" s="62" t="str">
        <f t="shared" si="44"/>
        <v>Hide Row</v>
      </c>
    </row>
    <row r="171" spans="1:33">
      <c r="C171" s="58" t="s">
        <v>357</v>
      </c>
      <c r="E171" s="59">
        <f t="shared" si="42"/>
        <v>-5542335.54</v>
      </c>
      <c r="F171" s="59">
        <v>-444608.1</v>
      </c>
      <c r="G171" s="59">
        <v>-444608.1</v>
      </c>
      <c r="H171" s="59">
        <v>-444608.1</v>
      </c>
      <c r="I171" s="59">
        <v>-444608.1</v>
      </c>
      <c r="J171" s="59">
        <v>-444608.1</v>
      </c>
      <c r="K171" s="59">
        <v>-444608.1</v>
      </c>
      <c r="L171" s="59">
        <v>-444608.1</v>
      </c>
      <c r="M171" s="59">
        <v>-444608.1</v>
      </c>
      <c r="N171" s="59">
        <v>-444608.1</v>
      </c>
      <c r="O171" s="59">
        <v>-513620.88</v>
      </c>
      <c r="P171" s="59">
        <v>-513620.88</v>
      </c>
      <c r="Q171" s="59">
        <v>-513620.88</v>
      </c>
      <c r="S171" s="51" t="b">
        <f t="shared" si="43"/>
        <v>1</v>
      </c>
      <c r="U171" s="60">
        <v>17</v>
      </c>
      <c r="V171" s="63" t="s">
        <v>357</v>
      </c>
      <c r="W171" s="60"/>
      <c r="Y171" s="60"/>
      <c r="AA171" s="60"/>
      <c r="AC171" s="61"/>
      <c r="AG171" s="62" t="str">
        <f t="shared" si="44"/>
        <v/>
      </c>
    </row>
    <row r="172" spans="1:33" hidden="1">
      <c r="C172" s="58" t="s">
        <v>358</v>
      </c>
      <c r="E172" s="59">
        <f t="shared" si="42"/>
        <v>0</v>
      </c>
      <c r="F172" s="59">
        <v>0</v>
      </c>
      <c r="G172" s="59">
        <v>0</v>
      </c>
      <c r="H172" s="59">
        <v>0</v>
      </c>
      <c r="I172" s="59">
        <v>0</v>
      </c>
      <c r="J172" s="59">
        <v>0</v>
      </c>
      <c r="K172" s="59">
        <v>0</v>
      </c>
      <c r="L172" s="59">
        <v>0</v>
      </c>
      <c r="M172" s="59">
        <v>0</v>
      </c>
      <c r="N172" s="59">
        <v>0</v>
      </c>
      <c r="O172" s="59">
        <v>0</v>
      </c>
      <c r="P172" s="59">
        <v>0</v>
      </c>
      <c r="Q172" s="59">
        <v>0</v>
      </c>
      <c r="S172" s="51" t="b">
        <f t="shared" si="43"/>
        <v>1</v>
      </c>
      <c r="U172" s="60" t="e">
        <v>#N/A</v>
      </c>
      <c r="V172" s="86" t="s">
        <v>359</v>
      </c>
      <c r="W172" s="60"/>
      <c r="X172" s="86"/>
      <c r="Y172" s="60"/>
      <c r="AA172" s="60"/>
      <c r="AC172" s="61"/>
      <c r="AG172" s="62" t="str">
        <f t="shared" si="44"/>
        <v>Hide Row</v>
      </c>
    </row>
    <row r="173" spans="1:33">
      <c r="C173" s="58" t="s">
        <v>360</v>
      </c>
      <c r="E173" s="59">
        <f t="shared" si="42"/>
        <v>2008899.5999999999</v>
      </c>
      <c r="F173" s="59">
        <v>166609.25</v>
      </c>
      <c r="G173" s="59">
        <v>166609.25</v>
      </c>
      <c r="H173" s="59">
        <v>166609.25</v>
      </c>
      <c r="I173" s="59">
        <v>166609.25</v>
      </c>
      <c r="J173" s="59">
        <v>166609.25</v>
      </c>
      <c r="K173" s="59">
        <v>166609.25</v>
      </c>
      <c r="L173" s="59">
        <v>166609.25</v>
      </c>
      <c r="M173" s="59">
        <v>166609.25</v>
      </c>
      <c r="N173" s="59">
        <v>166609.25</v>
      </c>
      <c r="O173" s="59">
        <v>169805.45</v>
      </c>
      <c r="P173" s="59">
        <v>169805.45</v>
      </c>
      <c r="Q173" s="59">
        <v>169805.45</v>
      </c>
      <c r="S173" s="51" t="b">
        <f t="shared" si="43"/>
        <v>1</v>
      </c>
      <c r="U173" s="60">
        <v>15</v>
      </c>
      <c r="V173" s="63" t="s">
        <v>361</v>
      </c>
      <c r="W173" s="60"/>
      <c r="X173" s="63" t="s">
        <v>362</v>
      </c>
      <c r="Y173" s="60"/>
      <c r="AA173" s="60"/>
      <c r="AC173" s="61"/>
      <c r="AD173" s="86"/>
      <c r="AE173" s="86"/>
      <c r="AF173" s="86"/>
      <c r="AG173" s="62" t="str">
        <f t="shared" si="44"/>
        <v/>
      </c>
    </row>
    <row r="174" spans="1:33" hidden="1">
      <c r="C174" s="58" t="s">
        <v>363</v>
      </c>
      <c r="E174" s="59">
        <f>SUM(F174:Q174)</f>
        <v>0</v>
      </c>
      <c r="F174" s="59">
        <v>0</v>
      </c>
      <c r="G174" s="59">
        <v>0</v>
      </c>
      <c r="H174" s="59">
        <v>0</v>
      </c>
      <c r="I174" s="59">
        <v>0</v>
      </c>
      <c r="J174" s="59">
        <v>0</v>
      </c>
      <c r="K174" s="59">
        <v>0</v>
      </c>
      <c r="L174" s="59">
        <v>0</v>
      </c>
      <c r="M174" s="59">
        <v>0</v>
      </c>
      <c r="N174" s="59">
        <v>0</v>
      </c>
      <c r="O174" s="59">
        <v>0</v>
      </c>
      <c r="P174" s="59">
        <v>0</v>
      </c>
      <c r="Q174" s="59">
        <v>0</v>
      </c>
      <c r="S174" s="51" t="b">
        <f t="shared" si="43"/>
        <v>1</v>
      </c>
      <c r="U174" s="60" t="e">
        <v>#N/A</v>
      </c>
      <c r="V174" s="63" t="s">
        <v>363</v>
      </c>
      <c r="W174" s="60"/>
      <c r="Y174" s="60"/>
      <c r="AA174" s="60"/>
      <c r="AC174" s="61"/>
      <c r="AD174" s="86"/>
      <c r="AE174" s="86"/>
      <c r="AF174" s="86"/>
      <c r="AG174" s="62" t="str">
        <f t="shared" si="44"/>
        <v>Hide Row</v>
      </c>
    </row>
    <row r="175" spans="1:33" s="84" customFormat="1" hidden="1">
      <c r="A175" s="83"/>
      <c r="C175" s="85" t="s">
        <v>361</v>
      </c>
      <c r="E175" s="59">
        <f>SUM(F175:Q175)</f>
        <v>0</v>
      </c>
      <c r="F175" s="59">
        <v>0</v>
      </c>
      <c r="G175" s="59">
        <v>0</v>
      </c>
      <c r="H175" s="59">
        <v>0</v>
      </c>
      <c r="I175" s="59">
        <v>0</v>
      </c>
      <c r="J175" s="59">
        <v>0</v>
      </c>
      <c r="K175" s="59">
        <v>0</v>
      </c>
      <c r="L175" s="59">
        <v>0</v>
      </c>
      <c r="M175" s="59">
        <v>0</v>
      </c>
      <c r="N175" s="59">
        <v>0</v>
      </c>
      <c r="O175" s="59">
        <v>0</v>
      </c>
      <c r="P175" s="59">
        <v>0</v>
      </c>
      <c r="Q175" s="59">
        <v>0</v>
      </c>
      <c r="R175" s="53"/>
      <c r="S175" s="51" t="b">
        <f t="shared" si="43"/>
        <v>1</v>
      </c>
      <c r="T175" s="54"/>
      <c r="U175" s="60"/>
      <c r="V175" s="51"/>
      <c r="W175" s="60"/>
      <c r="X175" s="51"/>
      <c r="Y175" s="60"/>
      <c r="Z175" s="51"/>
      <c r="AA175" s="60"/>
      <c r="AB175" s="51"/>
      <c r="AC175" s="61"/>
      <c r="AD175" s="51"/>
      <c r="AE175" s="51"/>
      <c r="AF175" s="51"/>
      <c r="AG175" s="62" t="str">
        <f t="shared" si="44"/>
        <v>Hide Row</v>
      </c>
    </row>
    <row r="176" spans="1:33" hidden="1">
      <c r="C176" s="58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U176" s="60"/>
      <c r="V176" s="63"/>
      <c r="W176" s="60"/>
      <c r="Y176" s="60"/>
      <c r="AA176" s="60"/>
      <c r="AC176" s="61"/>
      <c r="AG176" s="62" t="str">
        <f t="shared" si="44"/>
        <v>Hide Row</v>
      </c>
    </row>
    <row r="177" spans="1:33" s="84" customFormat="1">
      <c r="A177" s="83"/>
      <c r="C177" s="85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3"/>
      <c r="T177" s="86"/>
    </row>
    <row r="178" spans="1:33" s="84" customFormat="1">
      <c r="A178" s="83"/>
      <c r="B178" s="84" t="str">
        <f>B166&amp;" Total"</f>
        <v>Mid-Columbia Contracts Total</v>
      </c>
      <c r="C178" s="85"/>
      <c r="E178" s="59">
        <f>SUM(F178:Q178)</f>
        <v>152673.31000000017</v>
      </c>
      <c r="F178" s="59">
        <f t="shared" ref="F178:Q178" si="45">SUM(F167:F176)</f>
        <v>26431.619999999995</v>
      </c>
      <c r="G178" s="59">
        <f t="shared" si="45"/>
        <v>26431.619999999995</v>
      </c>
      <c r="H178" s="59">
        <f t="shared" si="45"/>
        <v>26431.619999999995</v>
      </c>
      <c r="I178" s="59">
        <f t="shared" si="45"/>
        <v>26431.619999999995</v>
      </c>
      <c r="J178" s="59">
        <f t="shared" si="45"/>
        <v>26431.619999999995</v>
      </c>
      <c r="K178" s="59">
        <f t="shared" si="45"/>
        <v>31137.850000000035</v>
      </c>
      <c r="L178" s="59">
        <f t="shared" si="45"/>
        <v>31137.850000000035</v>
      </c>
      <c r="M178" s="59">
        <f t="shared" si="45"/>
        <v>31137.850000000035</v>
      </c>
      <c r="N178" s="59">
        <f t="shared" si="45"/>
        <v>31137.850000000035</v>
      </c>
      <c r="O178" s="59">
        <f t="shared" si="45"/>
        <v>-34678.729999999981</v>
      </c>
      <c r="P178" s="59">
        <f t="shared" si="45"/>
        <v>-34678.729999999981</v>
      </c>
      <c r="Q178" s="59">
        <f t="shared" si="45"/>
        <v>-34678.729999999981</v>
      </c>
      <c r="R178" s="53"/>
    </row>
    <row r="179" spans="1:33" s="84" customFormat="1">
      <c r="A179" s="83"/>
      <c r="C179" s="85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3"/>
      <c r="T179" s="86"/>
    </row>
    <row r="180" spans="1:33">
      <c r="B180" s="51" t="s">
        <v>364</v>
      </c>
      <c r="E180" s="59">
        <f>SUM(F180:Q180)</f>
        <v>94155374.605613559</v>
      </c>
      <c r="F180" s="59">
        <f t="shared" ref="F180:Q180" si="46">F111+F122+F164+F178</f>
        <v>7419467.4420217564</v>
      </c>
      <c r="G180" s="59">
        <f t="shared" si="46"/>
        <v>5664489.7099333508</v>
      </c>
      <c r="H180" s="59">
        <f t="shared" si="46"/>
        <v>5072535.4659606833</v>
      </c>
      <c r="I180" s="59">
        <f t="shared" si="46"/>
        <v>8612126.0473887809</v>
      </c>
      <c r="J180" s="59">
        <f t="shared" si="46"/>
        <v>8836804.8745823633</v>
      </c>
      <c r="K180" s="59">
        <f t="shared" si="46"/>
        <v>8123839.4442486875</v>
      </c>
      <c r="L180" s="59">
        <f t="shared" si="46"/>
        <v>8963315.1756627001</v>
      </c>
      <c r="M180" s="59">
        <f t="shared" si="46"/>
        <v>8715328.9742532838</v>
      </c>
      <c r="N180" s="59">
        <f t="shared" si="46"/>
        <v>8883268.5697602779</v>
      </c>
      <c r="O180" s="59">
        <f t="shared" si="46"/>
        <v>8392468.8637662902</v>
      </c>
      <c r="P180" s="59">
        <f t="shared" si="46"/>
        <v>7647750.1914727725</v>
      </c>
      <c r="Q180" s="59">
        <f t="shared" si="46"/>
        <v>7823979.8465626165</v>
      </c>
    </row>
    <row r="181" spans="1:33"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</row>
    <row r="182" spans="1:33">
      <c r="B182" s="51" t="s">
        <v>365</v>
      </c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</row>
    <row r="183" spans="1:33" hidden="1">
      <c r="C183" s="58" t="s">
        <v>366</v>
      </c>
      <c r="E183" s="59">
        <f t="shared" ref="E183:E199" si="47">SUM(F183:Q183)</f>
        <v>0</v>
      </c>
      <c r="F183" s="59">
        <v>0</v>
      </c>
      <c r="G183" s="59">
        <v>0</v>
      </c>
      <c r="H183" s="59">
        <v>0</v>
      </c>
      <c r="I183" s="59">
        <v>0</v>
      </c>
      <c r="J183" s="59">
        <v>0</v>
      </c>
      <c r="K183" s="59">
        <v>0</v>
      </c>
      <c r="L183" s="59">
        <v>0</v>
      </c>
      <c r="M183" s="59">
        <v>0</v>
      </c>
      <c r="N183" s="59">
        <v>0</v>
      </c>
      <c r="O183" s="59">
        <v>0</v>
      </c>
      <c r="P183" s="59">
        <v>0</v>
      </c>
      <c r="Q183" s="59">
        <v>0</v>
      </c>
      <c r="S183" s="51" t="b">
        <f t="shared" ref="S183:S199" si="48">C513=C183</f>
        <v>1</v>
      </c>
      <c r="U183" s="60" t="e">
        <v>#N/A</v>
      </c>
      <c r="V183" s="51" t="s">
        <v>367</v>
      </c>
      <c r="W183" s="60" t="e">
        <v>#N/A</v>
      </c>
      <c r="X183" s="51" t="s">
        <v>368</v>
      </c>
      <c r="Y183" s="60"/>
      <c r="AA183" s="60"/>
      <c r="AC183" s="60"/>
      <c r="AG183" s="62" t="str">
        <f t="shared" ref="AG183:AG201" si="49">IF(OR(ISNUMBER(U183),ISNUMBER(W183),ISNUMBER(Y183),ISNUMBER(AA183),ISNUMBER(AC183)),"","Hide Row")</f>
        <v>Hide Row</v>
      </c>
    </row>
    <row r="184" spans="1:33">
      <c r="C184" s="52" t="s">
        <v>369</v>
      </c>
      <c r="E184" s="59">
        <f t="shared" si="47"/>
        <v>0</v>
      </c>
      <c r="F184" s="59">
        <v>0</v>
      </c>
      <c r="G184" s="59">
        <v>0</v>
      </c>
      <c r="H184" s="59">
        <v>0</v>
      </c>
      <c r="I184" s="59">
        <v>0</v>
      </c>
      <c r="J184" s="59">
        <v>0</v>
      </c>
      <c r="K184" s="59">
        <v>0</v>
      </c>
      <c r="L184" s="59">
        <v>0</v>
      </c>
      <c r="M184" s="59">
        <v>0</v>
      </c>
      <c r="N184" s="59">
        <v>0</v>
      </c>
      <c r="O184" s="59">
        <v>0</v>
      </c>
      <c r="P184" s="59">
        <v>0</v>
      </c>
      <c r="Q184" s="59">
        <v>0</v>
      </c>
      <c r="S184" s="51" t="b">
        <f t="shared" si="48"/>
        <v>1</v>
      </c>
      <c r="U184" s="60" t="e">
        <v>#N/A</v>
      </c>
      <c r="V184" s="51" t="s">
        <v>370</v>
      </c>
      <c r="W184" s="60" t="e">
        <v>#N/A</v>
      </c>
      <c r="X184" s="51" t="s">
        <v>371</v>
      </c>
      <c r="Y184" s="60"/>
      <c r="AA184" s="60"/>
      <c r="AC184" s="60"/>
      <c r="AG184" s="62" t="str">
        <f t="shared" si="49"/>
        <v>Hide Row</v>
      </c>
    </row>
    <row r="185" spans="1:33" hidden="1">
      <c r="C185" s="58" t="s">
        <v>372</v>
      </c>
      <c r="E185" s="59">
        <f t="shared" si="47"/>
        <v>0</v>
      </c>
      <c r="F185" s="59">
        <v>0</v>
      </c>
      <c r="G185" s="59">
        <v>0</v>
      </c>
      <c r="H185" s="59">
        <v>0</v>
      </c>
      <c r="I185" s="59">
        <v>0</v>
      </c>
      <c r="J185" s="59">
        <v>0</v>
      </c>
      <c r="K185" s="59">
        <v>0</v>
      </c>
      <c r="L185" s="59">
        <v>0</v>
      </c>
      <c r="M185" s="59">
        <v>0</v>
      </c>
      <c r="N185" s="59">
        <v>0</v>
      </c>
      <c r="O185" s="59">
        <v>0</v>
      </c>
      <c r="P185" s="59">
        <v>0</v>
      </c>
      <c r="Q185" s="59">
        <v>0</v>
      </c>
      <c r="S185" s="51" t="b">
        <f t="shared" si="48"/>
        <v>1</v>
      </c>
      <c r="U185" s="60" t="e">
        <v>#N/A</v>
      </c>
      <c r="V185" s="51" t="s">
        <v>373</v>
      </c>
      <c r="W185" s="60" t="e">
        <v>#N/A</v>
      </c>
      <c r="X185" s="51" t="s">
        <v>374</v>
      </c>
      <c r="Y185" s="60"/>
      <c r="AA185" s="60"/>
      <c r="AC185" s="61"/>
      <c r="AG185" s="62" t="str">
        <f t="shared" si="49"/>
        <v>Hide Row</v>
      </c>
    </row>
    <row r="186" spans="1:33" hidden="1">
      <c r="C186" s="58" t="s">
        <v>375</v>
      </c>
      <c r="E186" s="59">
        <f t="shared" si="47"/>
        <v>0</v>
      </c>
      <c r="F186" s="59">
        <v>0</v>
      </c>
      <c r="G186" s="59">
        <v>0</v>
      </c>
      <c r="H186" s="59">
        <v>0</v>
      </c>
      <c r="I186" s="59">
        <v>0</v>
      </c>
      <c r="J186" s="59">
        <v>0</v>
      </c>
      <c r="K186" s="59">
        <v>0</v>
      </c>
      <c r="L186" s="59">
        <v>0</v>
      </c>
      <c r="M186" s="59">
        <v>0</v>
      </c>
      <c r="N186" s="59">
        <v>0</v>
      </c>
      <c r="O186" s="59">
        <v>0</v>
      </c>
      <c r="P186" s="59">
        <v>0</v>
      </c>
      <c r="Q186" s="59">
        <v>0</v>
      </c>
      <c r="S186" s="51" t="b">
        <f t="shared" si="48"/>
        <v>1</v>
      </c>
      <c r="U186" s="60" t="e">
        <v>#N/A</v>
      </c>
      <c r="V186" s="51" t="s">
        <v>376</v>
      </c>
      <c r="W186" s="60" t="e">
        <v>#N/A</v>
      </c>
      <c r="X186" s="51" t="s">
        <v>377</v>
      </c>
      <c r="Y186" s="60" t="e">
        <v>#N/A</v>
      </c>
      <c r="Z186" s="51" t="s">
        <v>378</v>
      </c>
      <c r="AA186" s="60" t="e">
        <v>#N/A</v>
      </c>
      <c r="AB186" s="51" t="s">
        <v>379</v>
      </c>
      <c r="AC186" s="60"/>
      <c r="AG186" s="62" t="str">
        <f t="shared" si="49"/>
        <v>Hide Row</v>
      </c>
    </row>
    <row r="187" spans="1:33">
      <c r="C187" s="58" t="s">
        <v>380</v>
      </c>
      <c r="E187" s="59">
        <f t="shared" si="47"/>
        <v>0</v>
      </c>
      <c r="F187" s="59">
        <v>0</v>
      </c>
      <c r="G187" s="59">
        <v>0</v>
      </c>
      <c r="H187" s="59">
        <v>0</v>
      </c>
      <c r="I187" s="59">
        <v>0</v>
      </c>
      <c r="J187" s="59">
        <v>0</v>
      </c>
      <c r="K187" s="59">
        <v>0</v>
      </c>
      <c r="L187" s="59">
        <v>0</v>
      </c>
      <c r="M187" s="59">
        <v>0</v>
      </c>
      <c r="N187" s="59">
        <v>0</v>
      </c>
      <c r="O187" s="59">
        <v>0</v>
      </c>
      <c r="P187" s="59">
        <v>0</v>
      </c>
      <c r="Q187" s="59">
        <v>0</v>
      </c>
      <c r="S187" s="51" t="b">
        <f t="shared" si="48"/>
        <v>1</v>
      </c>
      <c r="U187" s="60" t="e">
        <v>#N/A</v>
      </c>
      <c r="V187" s="51" t="s">
        <v>381</v>
      </c>
      <c r="W187" s="60" t="e">
        <v>#N/A</v>
      </c>
      <c r="X187" s="51" t="s">
        <v>382</v>
      </c>
      <c r="Y187" s="60"/>
      <c r="AA187" s="60"/>
      <c r="AC187" s="60"/>
      <c r="AG187" s="62" t="str">
        <f t="shared" si="49"/>
        <v>Hide Row</v>
      </c>
    </row>
    <row r="188" spans="1:33">
      <c r="C188" s="58" t="s">
        <v>383</v>
      </c>
      <c r="E188" s="59">
        <f t="shared" si="47"/>
        <v>0</v>
      </c>
      <c r="F188" s="59">
        <v>0</v>
      </c>
      <c r="G188" s="59">
        <v>0</v>
      </c>
      <c r="H188" s="59">
        <v>0</v>
      </c>
      <c r="I188" s="59">
        <v>0</v>
      </c>
      <c r="J188" s="59">
        <v>0</v>
      </c>
      <c r="K188" s="59">
        <v>0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S188" s="51" t="b">
        <f t="shared" si="48"/>
        <v>1</v>
      </c>
      <c r="U188" s="60" t="e">
        <v>#N/A</v>
      </c>
      <c r="V188" s="51" t="s">
        <v>384</v>
      </c>
      <c r="W188" s="60" t="e">
        <v>#N/A</v>
      </c>
      <c r="X188" s="51" t="s">
        <v>385</v>
      </c>
      <c r="Y188" s="60" t="e">
        <v>#N/A</v>
      </c>
      <c r="Z188" s="51" t="s">
        <v>386</v>
      </c>
      <c r="AA188" s="60" t="e">
        <v>#N/A</v>
      </c>
      <c r="AB188" s="51" t="s">
        <v>387</v>
      </c>
      <c r="AC188" s="60"/>
      <c r="AG188" s="62" t="str">
        <f t="shared" si="49"/>
        <v>Hide Row</v>
      </c>
    </row>
    <row r="189" spans="1:33" hidden="1">
      <c r="C189" s="58" t="s">
        <v>388</v>
      </c>
      <c r="E189" s="59">
        <f t="shared" si="47"/>
        <v>0</v>
      </c>
      <c r="F189" s="59">
        <v>0</v>
      </c>
      <c r="G189" s="59">
        <v>0</v>
      </c>
      <c r="H189" s="59">
        <v>0</v>
      </c>
      <c r="I189" s="59">
        <v>0</v>
      </c>
      <c r="J189" s="59">
        <v>0</v>
      </c>
      <c r="K189" s="59">
        <v>0</v>
      </c>
      <c r="L189" s="59">
        <v>0</v>
      </c>
      <c r="M189" s="59">
        <v>0</v>
      </c>
      <c r="N189" s="59">
        <v>0</v>
      </c>
      <c r="O189" s="59">
        <v>0</v>
      </c>
      <c r="P189" s="59">
        <v>0</v>
      </c>
      <c r="Q189" s="59">
        <v>0</v>
      </c>
      <c r="S189" s="51" t="b">
        <f t="shared" si="48"/>
        <v>1</v>
      </c>
      <c r="U189" s="60" t="e">
        <v>#N/A</v>
      </c>
      <c r="V189" s="51" t="s">
        <v>389</v>
      </c>
      <c r="W189" s="60" t="e">
        <v>#N/A</v>
      </c>
      <c r="X189" s="51" t="s">
        <v>390</v>
      </c>
      <c r="Y189" s="60"/>
      <c r="AA189" s="60"/>
      <c r="AC189" s="60"/>
      <c r="AG189" s="62" t="str">
        <f t="shared" si="49"/>
        <v>Hide Row</v>
      </c>
    </row>
    <row r="190" spans="1:33">
      <c r="C190" s="58" t="s">
        <v>391</v>
      </c>
      <c r="E190" s="59">
        <f t="shared" si="47"/>
        <v>0</v>
      </c>
      <c r="F190" s="59">
        <v>0</v>
      </c>
      <c r="G190" s="59">
        <v>0</v>
      </c>
      <c r="H190" s="59">
        <v>0</v>
      </c>
      <c r="I190" s="59">
        <v>0</v>
      </c>
      <c r="J190" s="59">
        <v>0</v>
      </c>
      <c r="K190" s="59">
        <v>0</v>
      </c>
      <c r="L190" s="59">
        <v>0</v>
      </c>
      <c r="M190" s="59">
        <v>0</v>
      </c>
      <c r="N190" s="59">
        <v>0</v>
      </c>
      <c r="O190" s="59">
        <v>0</v>
      </c>
      <c r="P190" s="59">
        <v>0</v>
      </c>
      <c r="Q190" s="59">
        <v>0</v>
      </c>
      <c r="S190" s="51" t="b">
        <f t="shared" si="48"/>
        <v>1</v>
      </c>
      <c r="U190" s="60" t="e">
        <v>#N/A</v>
      </c>
      <c r="V190" s="51" t="s">
        <v>392</v>
      </c>
      <c r="W190" s="60" t="e">
        <v>#N/A</v>
      </c>
      <c r="X190" s="51" t="s">
        <v>393</v>
      </c>
      <c r="Y190" s="60" t="e">
        <v>#N/A</v>
      </c>
      <c r="Z190" s="51" t="s">
        <v>394</v>
      </c>
      <c r="AA190" s="60" t="e">
        <v>#N/A</v>
      </c>
      <c r="AB190" s="51" t="s">
        <v>395</v>
      </c>
      <c r="AC190" s="60"/>
      <c r="AG190" s="62" t="str">
        <f t="shared" si="49"/>
        <v>Hide Row</v>
      </c>
    </row>
    <row r="191" spans="1:33" hidden="1">
      <c r="C191" s="58" t="s">
        <v>396</v>
      </c>
      <c r="E191" s="59">
        <f>SUM(F191:Q191)</f>
        <v>0</v>
      </c>
      <c r="F191" s="59">
        <v>0</v>
      </c>
      <c r="G191" s="59">
        <v>0</v>
      </c>
      <c r="H191" s="59">
        <v>0</v>
      </c>
      <c r="I191" s="59">
        <v>0</v>
      </c>
      <c r="J191" s="59">
        <v>0</v>
      </c>
      <c r="K191" s="59">
        <v>0</v>
      </c>
      <c r="L191" s="59">
        <v>0</v>
      </c>
      <c r="M191" s="59">
        <v>0</v>
      </c>
      <c r="N191" s="59">
        <v>0</v>
      </c>
      <c r="O191" s="59">
        <v>0</v>
      </c>
      <c r="P191" s="59">
        <v>0</v>
      </c>
      <c r="Q191" s="59">
        <v>0</v>
      </c>
      <c r="S191" s="51" t="b">
        <f t="shared" si="48"/>
        <v>1</v>
      </c>
      <c r="U191" s="60" t="e">
        <v>#N/A</v>
      </c>
      <c r="V191" s="77" t="s">
        <v>397</v>
      </c>
      <c r="W191" s="60" t="e">
        <v>#N/A</v>
      </c>
      <c r="X191" s="77" t="s">
        <v>398</v>
      </c>
      <c r="Y191" s="60" t="e">
        <v>#N/A</v>
      </c>
      <c r="Z191" s="51" t="s">
        <v>399</v>
      </c>
      <c r="AA191" s="60" t="e">
        <v>#N/A</v>
      </c>
      <c r="AB191" s="51" t="s">
        <v>400</v>
      </c>
      <c r="AC191" s="60"/>
      <c r="AG191" s="62" t="str">
        <f t="shared" si="49"/>
        <v>Hide Row</v>
      </c>
    </row>
    <row r="192" spans="1:33">
      <c r="C192" s="58" t="s">
        <v>401</v>
      </c>
      <c r="E192" s="59">
        <f t="shared" si="47"/>
        <v>0</v>
      </c>
      <c r="F192" s="59">
        <v>0</v>
      </c>
      <c r="G192" s="59">
        <v>0</v>
      </c>
      <c r="H192" s="59">
        <v>0</v>
      </c>
      <c r="I192" s="59">
        <v>0</v>
      </c>
      <c r="J192" s="59">
        <v>0</v>
      </c>
      <c r="K192" s="59">
        <v>0</v>
      </c>
      <c r="L192" s="59">
        <v>0</v>
      </c>
      <c r="M192" s="59">
        <v>0</v>
      </c>
      <c r="N192" s="59">
        <v>0</v>
      </c>
      <c r="O192" s="59">
        <v>0</v>
      </c>
      <c r="P192" s="59">
        <v>0</v>
      </c>
      <c r="Q192" s="59">
        <v>0</v>
      </c>
      <c r="S192" s="51" t="b">
        <f t="shared" si="48"/>
        <v>1</v>
      </c>
      <c r="U192" s="60">
        <v>3</v>
      </c>
      <c r="V192" s="51" t="s">
        <v>402</v>
      </c>
      <c r="W192" s="60"/>
      <c r="Y192" s="60"/>
      <c r="AA192" s="60"/>
      <c r="AC192" s="60"/>
      <c r="AG192" s="62" t="str">
        <f t="shared" si="49"/>
        <v/>
      </c>
    </row>
    <row r="193" spans="2:33">
      <c r="C193" s="58" t="s">
        <v>403</v>
      </c>
      <c r="E193" s="59">
        <f t="shared" si="47"/>
        <v>0</v>
      </c>
      <c r="F193" s="59">
        <v>0</v>
      </c>
      <c r="G193" s="59">
        <v>0</v>
      </c>
      <c r="H193" s="59">
        <v>0</v>
      </c>
      <c r="I193" s="59">
        <v>0</v>
      </c>
      <c r="J193" s="59">
        <v>0</v>
      </c>
      <c r="K193" s="59">
        <v>0</v>
      </c>
      <c r="L193" s="59">
        <v>0</v>
      </c>
      <c r="M193" s="59">
        <v>0</v>
      </c>
      <c r="N193" s="59">
        <v>0</v>
      </c>
      <c r="O193" s="59">
        <v>0</v>
      </c>
      <c r="P193" s="59">
        <v>0</v>
      </c>
      <c r="Q193" s="59">
        <v>0</v>
      </c>
      <c r="S193" s="51" t="b">
        <f t="shared" si="48"/>
        <v>1</v>
      </c>
      <c r="U193" s="60" t="e">
        <v>#N/A</v>
      </c>
      <c r="V193" s="77" t="s">
        <v>404</v>
      </c>
      <c r="W193" s="60" t="e">
        <v>#N/A</v>
      </c>
      <c r="X193" s="77" t="s">
        <v>405</v>
      </c>
      <c r="Y193" s="60" t="e">
        <v>#N/A</v>
      </c>
      <c r="Z193" s="77" t="s">
        <v>406</v>
      </c>
      <c r="AA193" s="60"/>
      <c r="AC193" s="60"/>
      <c r="AG193" s="62" t="str">
        <f t="shared" si="49"/>
        <v>Hide Row</v>
      </c>
    </row>
    <row r="194" spans="2:33">
      <c r="C194" s="58" t="s">
        <v>407</v>
      </c>
      <c r="E194" s="59">
        <f t="shared" si="47"/>
        <v>0</v>
      </c>
      <c r="F194" s="59">
        <v>0</v>
      </c>
      <c r="G194" s="59">
        <v>0</v>
      </c>
      <c r="H194" s="59">
        <v>0</v>
      </c>
      <c r="I194" s="59">
        <v>0</v>
      </c>
      <c r="J194" s="59">
        <v>0</v>
      </c>
      <c r="K194" s="59">
        <v>0</v>
      </c>
      <c r="L194" s="59">
        <v>0</v>
      </c>
      <c r="M194" s="59">
        <v>0</v>
      </c>
      <c r="N194" s="59">
        <v>0</v>
      </c>
      <c r="O194" s="59">
        <v>0</v>
      </c>
      <c r="P194" s="59">
        <v>0</v>
      </c>
      <c r="Q194" s="59">
        <v>0</v>
      </c>
      <c r="S194" s="51" t="b">
        <f t="shared" si="48"/>
        <v>1</v>
      </c>
      <c r="U194" s="60" t="e">
        <v>#N/A</v>
      </c>
      <c r="V194" s="51" t="s">
        <v>408</v>
      </c>
      <c r="W194" s="60" t="e">
        <v>#N/A</v>
      </c>
      <c r="X194" s="51" t="s">
        <v>409</v>
      </c>
      <c r="Y194" s="60"/>
      <c r="AA194" s="60"/>
      <c r="AC194" s="60"/>
      <c r="AG194" s="62" t="str">
        <f t="shared" si="49"/>
        <v>Hide Row</v>
      </c>
    </row>
    <row r="195" spans="2:33">
      <c r="C195" s="58" t="s">
        <v>410</v>
      </c>
      <c r="E195" s="59">
        <f t="shared" si="47"/>
        <v>0</v>
      </c>
      <c r="F195" s="59">
        <v>0</v>
      </c>
      <c r="G195" s="59">
        <v>0</v>
      </c>
      <c r="H195" s="59">
        <v>0</v>
      </c>
      <c r="I195" s="59">
        <v>0</v>
      </c>
      <c r="J195" s="59">
        <v>0</v>
      </c>
      <c r="K195" s="59">
        <v>0</v>
      </c>
      <c r="L195" s="59">
        <v>0</v>
      </c>
      <c r="M195" s="59">
        <v>0</v>
      </c>
      <c r="N195" s="59">
        <v>0</v>
      </c>
      <c r="O195" s="59">
        <v>0</v>
      </c>
      <c r="P195" s="59">
        <v>0</v>
      </c>
      <c r="Q195" s="59">
        <v>0</v>
      </c>
      <c r="S195" s="51" t="b">
        <f t="shared" si="48"/>
        <v>1</v>
      </c>
      <c r="U195" s="60" t="e">
        <v>#N/A</v>
      </c>
      <c r="V195" s="77" t="s">
        <v>411</v>
      </c>
      <c r="W195" s="60" t="e">
        <v>#N/A</v>
      </c>
      <c r="X195" s="77" t="s">
        <v>412</v>
      </c>
      <c r="Y195" s="60"/>
      <c r="AA195" s="60"/>
      <c r="AC195" s="60"/>
      <c r="AG195" s="62" t="str">
        <f t="shared" si="49"/>
        <v>Hide Row</v>
      </c>
    </row>
    <row r="196" spans="2:33">
      <c r="C196" s="58" t="s">
        <v>413</v>
      </c>
      <c r="E196" s="59">
        <f t="shared" si="47"/>
        <v>0</v>
      </c>
      <c r="F196" s="59">
        <v>0</v>
      </c>
      <c r="G196" s="59">
        <v>0</v>
      </c>
      <c r="H196" s="59">
        <v>0</v>
      </c>
      <c r="I196" s="59">
        <v>0</v>
      </c>
      <c r="J196" s="59">
        <v>0</v>
      </c>
      <c r="K196" s="59">
        <v>0</v>
      </c>
      <c r="L196" s="59">
        <v>0</v>
      </c>
      <c r="M196" s="59">
        <v>0</v>
      </c>
      <c r="N196" s="59">
        <v>0</v>
      </c>
      <c r="O196" s="59">
        <v>0</v>
      </c>
      <c r="P196" s="59">
        <v>0</v>
      </c>
      <c r="Q196" s="59">
        <v>0</v>
      </c>
      <c r="S196" s="51" t="b">
        <f t="shared" si="48"/>
        <v>1</v>
      </c>
      <c r="U196" s="60" t="e">
        <v>#N/A</v>
      </c>
      <c r="V196" s="51" t="s">
        <v>414</v>
      </c>
      <c r="W196" s="60" t="e">
        <v>#N/A</v>
      </c>
      <c r="X196" s="51" t="s">
        <v>415</v>
      </c>
      <c r="Y196" s="60"/>
      <c r="AA196" s="60"/>
      <c r="AC196" s="60"/>
      <c r="AG196" s="62" t="str">
        <f t="shared" si="49"/>
        <v>Hide Row</v>
      </c>
    </row>
    <row r="197" spans="2:33">
      <c r="C197" s="58" t="s">
        <v>416</v>
      </c>
      <c r="E197" s="59">
        <f t="shared" si="47"/>
        <v>0</v>
      </c>
      <c r="F197" s="59">
        <v>0</v>
      </c>
      <c r="G197" s="59">
        <v>0</v>
      </c>
      <c r="H197" s="59">
        <v>0</v>
      </c>
      <c r="I197" s="59">
        <v>0</v>
      </c>
      <c r="J197" s="59">
        <v>0</v>
      </c>
      <c r="K197" s="59">
        <v>0</v>
      </c>
      <c r="L197" s="59">
        <v>0</v>
      </c>
      <c r="M197" s="59">
        <v>0</v>
      </c>
      <c r="N197" s="59">
        <v>0</v>
      </c>
      <c r="O197" s="59">
        <v>0</v>
      </c>
      <c r="P197" s="59">
        <v>0</v>
      </c>
      <c r="Q197" s="59">
        <v>0</v>
      </c>
      <c r="S197" s="51" t="b">
        <f t="shared" si="48"/>
        <v>1</v>
      </c>
      <c r="U197" s="60">
        <v>36</v>
      </c>
      <c r="V197" s="77" t="s">
        <v>417</v>
      </c>
      <c r="W197" s="60">
        <v>34</v>
      </c>
      <c r="X197" s="77" t="s">
        <v>418</v>
      </c>
      <c r="Y197" s="60">
        <v>37</v>
      </c>
      <c r="Z197" s="51" t="s">
        <v>419</v>
      </c>
      <c r="AA197" s="60">
        <v>35</v>
      </c>
      <c r="AB197" s="51" t="s">
        <v>420</v>
      </c>
      <c r="AC197" s="60"/>
      <c r="AG197" s="62" t="str">
        <f t="shared" si="49"/>
        <v/>
      </c>
    </row>
    <row r="198" spans="2:33" hidden="1">
      <c r="C198" s="58" t="s">
        <v>421</v>
      </c>
      <c r="E198" s="59">
        <f>SUM(F198:Q198)</f>
        <v>0</v>
      </c>
      <c r="F198" s="59">
        <v>0</v>
      </c>
      <c r="G198" s="59">
        <v>0</v>
      </c>
      <c r="H198" s="59">
        <v>0</v>
      </c>
      <c r="I198" s="59">
        <v>0</v>
      </c>
      <c r="J198" s="59">
        <v>0</v>
      </c>
      <c r="K198" s="59">
        <v>0</v>
      </c>
      <c r="L198" s="59">
        <v>0</v>
      </c>
      <c r="M198" s="59">
        <v>0</v>
      </c>
      <c r="N198" s="59">
        <v>0</v>
      </c>
      <c r="O198" s="59">
        <v>0</v>
      </c>
      <c r="P198" s="59">
        <v>0</v>
      </c>
      <c r="Q198" s="59">
        <v>0</v>
      </c>
      <c r="S198" s="51" t="b">
        <f t="shared" si="48"/>
        <v>1</v>
      </c>
      <c r="U198" s="60" t="e">
        <v>#N/A</v>
      </c>
      <c r="V198" s="77" t="s">
        <v>422</v>
      </c>
      <c r="W198" s="60" t="e">
        <v>#N/A</v>
      </c>
      <c r="X198" s="77" t="s">
        <v>423</v>
      </c>
      <c r="Y198" s="60"/>
      <c r="AA198" s="60"/>
      <c r="AB198" s="70"/>
      <c r="AC198" s="60"/>
      <c r="AG198" s="62" t="str">
        <f t="shared" si="49"/>
        <v>Hide Row</v>
      </c>
    </row>
    <row r="199" spans="2:33" ht="18" hidden="1" customHeight="1">
      <c r="C199" s="58" t="s">
        <v>424</v>
      </c>
      <c r="E199" s="59">
        <f t="shared" si="47"/>
        <v>0</v>
      </c>
      <c r="F199" s="59">
        <v>0</v>
      </c>
      <c r="G199" s="59">
        <v>0</v>
      </c>
      <c r="H199" s="59">
        <v>0</v>
      </c>
      <c r="I199" s="59">
        <v>0</v>
      </c>
      <c r="J199" s="59">
        <v>0</v>
      </c>
      <c r="K199" s="59">
        <v>0</v>
      </c>
      <c r="L199" s="59">
        <v>0</v>
      </c>
      <c r="M199" s="59">
        <v>0</v>
      </c>
      <c r="N199" s="59">
        <v>0</v>
      </c>
      <c r="O199" s="59">
        <v>0</v>
      </c>
      <c r="P199" s="59">
        <v>0</v>
      </c>
      <c r="Q199" s="59">
        <v>0</v>
      </c>
      <c r="S199" s="51" t="b">
        <f t="shared" si="48"/>
        <v>1</v>
      </c>
      <c r="U199" s="60" t="e">
        <v>#N/A</v>
      </c>
      <c r="V199" s="77" t="s">
        <v>425</v>
      </c>
      <c r="W199" s="60" t="e">
        <v>#N/A</v>
      </c>
      <c r="X199" s="77" t="s">
        <v>426</v>
      </c>
      <c r="Y199" s="60"/>
      <c r="AA199" s="60"/>
      <c r="AB199" s="70"/>
      <c r="AC199" s="60"/>
      <c r="AG199" s="62" t="str">
        <f t="shared" si="49"/>
        <v>Hide Row</v>
      </c>
    </row>
    <row r="200" spans="2:33" hidden="1">
      <c r="C200" s="58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U200" s="60"/>
      <c r="W200" s="60"/>
      <c r="X200" s="77"/>
      <c r="Y200" s="60"/>
      <c r="AA200" s="60"/>
      <c r="AB200" s="70"/>
      <c r="AC200" s="60"/>
      <c r="AG200" s="62" t="str">
        <f t="shared" si="49"/>
        <v>Hide Row</v>
      </c>
    </row>
    <row r="201" spans="2:33" hidden="1">
      <c r="C201" s="51" t="s">
        <v>427</v>
      </c>
      <c r="E201" s="65">
        <f>SUM(F201:Q201)</f>
        <v>0</v>
      </c>
      <c r="F201" s="65">
        <v>0</v>
      </c>
      <c r="G201" s="65">
        <v>0</v>
      </c>
      <c r="H201" s="65">
        <v>0</v>
      </c>
      <c r="I201" s="65">
        <v>0</v>
      </c>
      <c r="J201" s="65">
        <v>0</v>
      </c>
      <c r="K201" s="65">
        <v>0</v>
      </c>
      <c r="L201" s="65">
        <v>0</v>
      </c>
      <c r="M201" s="65">
        <v>0</v>
      </c>
      <c r="N201" s="65">
        <v>0</v>
      </c>
      <c r="O201" s="65">
        <v>0</v>
      </c>
      <c r="P201" s="65">
        <v>0</v>
      </c>
      <c r="Q201" s="65">
        <v>0</v>
      </c>
      <c r="S201" s="51" t="b">
        <f>C531=C201</f>
        <v>1</v>
      </c>
      <c r="U201" s="60" t="e">
        <v>#N/A</v>
      </c>
      <c r="V201" s="51" t="s">
        <v>427</v>
      </c>
      <c r="W201" s="60" t="e">
        <v>#N/A</v>
      </c>
      <c r="X201" s="51" t="s">
        <v>428</v>
      </c>
      <c r="Y201" s="60"/>
      <c r="AA201" s="60"/>
      <c r="AC201" s="60"/>
      <c r="AG201" s="62" t="str">
        <f t="shared" si="49"/>
        <v>Hide Row</v>
      </c>
    </row>
    <row r="202" spans="2:33"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</row>
    <row r="203" spans="2:33">
      <c r="B203" s="51" t="str">
        <f>"Total "&amp;B182</f>
        <v>Total Storage &amp; Exchange</v>
      </c>
      <c r="E203" s="59">
        <f>SUM(F203:Q203)</f>
        <v>0</v>
      </c>
      <c r="F203" s="66">
        <f t="shared" ref="F203:Q203" si="50">SUM(F183:F201)</f>
        <v>0</v>
      </c>
      <c r="G203" s="66">
        <f t="shared" si="50"/>
        <v>0</v>
      </c>
      <c r="H203" s="66">
        <f t="shared" si="50"/>
        <v>0</v>
      </c>
      <c r="I203" s="66">
        <f t="shared" si="50"/>
        <v>0</v>
      </c>
      <c r="J203" s="66">
        <f t="shared" si="50"/>
        <v>0</v>
      </c>
      <c r="K203" s="66">
        <f t="shared" si="50"/>
        <v>0</v>
      </c>
      <c r="L203" s="66">
        <f t="shared" si="50"/>
        <v>0</v>
      </c>
      <c r="M203" s="66">
        <f t="shared" si="50"/>
        <v>0</v>
      </c>
      <c r="N203" s="66">
        <f t="shared" si="50"/>
        <v>0</v>
      </c>
      <c r="O203" s="66">
        <f t="shared" si="50"/>
        <v>0</v>
      </c>
      <c r="P203" s="66">
        <f t="shared" si="50"/>
        <v>0</v>
      </c>
      <c r="Q203" s="66">
        <f t="shared" si="50"/>
        <v>0</v>
      </c>
    </row>
    <row r="204" spans="2:33"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U204" s="64"/>
    </row>
    <row r="205" spans="2:33">
      <c r="B205" s="51" t="s">
        <v>429</v>
      </c>
      <c r="E205" s="94"/>
      <c r="F205" s="93"/>
      <c r="G205" s="93"/>
      <c r="H205" s="93"/>
      <c r="I205" s="95"/>
      <c r="J205" s="96"/>
      <c r="K205" s="96"/>
      <c r="L205" s="96"/>
      <c r="M205" s="96"/>
      <c r="N205" s="96"/>
      <c r="O205" s="96"/>
      <c r="P205" s="96"/>
      <c r="Q205" s="96"/>
      <c r="U205" s="41" t="s">
        <v>430</v>
      </c>
    </row>
    <row r="206" spans="2:33" hidden="1">
      <c r="C206" s="52" t="s">
        <v>90</v>
      </c>
      <c r="E206" s="59">
        <f t="shared" ref="E206:E219" si="51">SUM(F206:Q206)</f>
        <v>0</v>
      </c>
      <c r="F206" s="59">
        <v>0</v>
      </c>
      <c r="G206" s="59">
        <v>0</v>
      </c>
      <c r="H206" s="59">
        <v>0</v>
      </c>
      <c r="I206" s="59">
        <v>0</v>
      </c>
      <c r="J206" s="59">
        <v>0</v>
      </c>
      <c r="K206" s="59">
        <v>0</v>
      </c>
      <c r="L206" s="59">
        <v>0</v>
      </c>
      <c r="M206" s="59">
        <v>0</v>
      </c>
      <c r="N206" s="59">
        <v>0</v>
      </c>
      <c r="O206" s="59">
        <v>0</v>
      </c>
      <c r="P206" s="59">
        <v>0</v>
      </c>
      <c r="Q206" s="59">
        <v>0</v>
      </c>
      <c r="S206" s="51" t="b">
        <f t="shared" ref="S206:S219" si="52">C536=C206</f>
        <v>1</v>
      </c>
      <c r="U206" s="60" t="e">
        <v>#N/A</v>
      </c>
      <c r="V206" s="51" t="s">
        <v>90</v>
      </c>
      <c r="W206" s="60"/>
      <c r="Y206" s="60"/>
      <c r="AA206" s="60"/>
      <c r="AC206" s="60"/>
      <c r="AG206" s="62" t="str">
        <f t="shared" ref="AG206:AG235" si="53">IF(OR(ISNUMBER(U206),ISNUMBER(W206),ISNUMBER(Y206),ISNUMBER(AA206),ISNUMBER(AC206)),"","Hide Row")</f>
        <v>Hide Row</v>
      </c>
    </row>
    <row r="207" spans="2:33" hidden="1">
      <c r="C207" s="52" t="s">
        <v>91</v>
      </c>
      <c r="E207" s="59">
        <f t="shared" si="51"/>
        <v>0</v>
      </c>
      <c r="F207" s="59">
        <v>0</v>
      </c>
      <c r="G207" s="59">
        <v>0</v>
      </c>
      <c r="H207" s="59">
        <v>0</v>
      </c>
      <c r="I207" s="59">
        <v>0</v>
      </c>
      <c r="J207" s="59">
        <v>0</v>
      </c>
      <c r="K207" s="59">
        <v>0</v>
      </c>
      <c r="L207" s="59">
        <v>0</v>
      </c>
      <c r="M207" s="59">
        <v>0</v>
      </c>
      <c r="N207" s="59">
        <v>0</v>
      </c>
      <c r="O207" s="59">
        <v>0</v>
      </c>
      <c r="P207" s="59">
        <v>0</v>
      </c>
      <c r="Q207" s="59">
        <v>0</v>
      </c>
      <c r="S207" s="51" t="b">
        <f t="shared" si="52"/>
        <v>1</v>
      </c>
      <c r="U207" s="60" t="e">
        <v>#N/A</v>
      </c>
      <c r="V207" s="51" t="s">
        <v>91</v>
      </c>
      <c r="W207" s="60"/>
      <c r="Y207" s="60" t="e">
        <v>#N/A</v>
      </c>
      <c r="Z207" s="51" t="str">
        <f>Z34</f>
        <v>Tri-State MP</v>
      </c>
      <c r="AA207" s="60"/>
      <c r="AC207" s="60"/>
      <c r="AD207" s="77"/>
      <c r="AG207" s="62" t="str">
        <f t="shared" si="53"/>
        <v>Hide Row</v>
      </c>
    </row>
    <row r="208" spans="2:33" hidden="1">
      <c r="C208" s="52" t="s">
        <v>93</v>
      </c>
      <c r="E208" s="59">
        <f t="shared" si="51"/>
        <v>0</v>
      </c>
      <c r="F208" s="59">
        <v>0</v>
      </c>
      <c r="G208" s="59">
        <v>0</v>
      </c>
      <c r="H208" s="59">
        <v>0</v>
      </c>
      <c r="I208" s="59">
        <v>0</v>
      </c>
      <c r="J208" s="59">
        <v>0</v>
      </c>
      <c r="K208" s="59">
        <v>0</v>
      </c>
      <c r="L208" s="59">
        <v>0</v>
      </c>
      <c r="M208" s="59">
        <v>0</v>
      </c>
      <c r="N208" s="59">
        <v>0</v>
      </c>
      <c r="O208" s="59">
        <v>0</v>
      </c>
      <c r="P208" s="59">
        <v>0</v>
      </c>
      <c r="Q208" s="59">
        <v>0</v>
      </c>
      <c r="S208" s="51" t="b">
        <f t="shared" si="52"/>
        <v>1</v>
      </c>
      <c r="U208" s="60" t="e">
        <v>#N/A</v>
      </c>
      <c r="V208" s="51" t="s">
        <v>93</v>
      </c>
      <c r="W208" s="60"/>
      <c r="X208" s="54"/>
      <c r="Y208" s="60" t="e">
        <v>#N/A</v>
      </c>
      <c r="Z208" s="51" t="str">
        <f>Z35</f>
        <v>APS</v>
      </c>
      <c r="AA208" s="60"/>
      <c r="AC208" s="60"/>
      <c r="AG208" s="62" t="str">
        <f t="shared" si="53"/>
        <v>Hide Row</v>
      </c>
    </row>
    <row r="209" spans="1:33" hidden="1">
      <c r="C209" s="52" t="s">
        <v>95</v>
      </c>
      <c r="E209" s="59">
        <f t="shared" si="51"/>
        <v>0</v>
      </c>
      <c r="F209" s="59">
        <v>0</v>
      </c>
      <c r="G209" s="59">
        <v>0</v>
      </c>
      <c r="H209" s="59">
        <v>0</v>
      </c>
      <c r="I209" s="59">
        <v>0</v>
      </c>
      <c r="J209" s="59">
        <v>0</v>
      </c>
      <c r="K209" s="59">
        <v>0</v>
      </c>
      <c r="L209" s="59">
        <v>0</v>
      </c>
      <c r="M209" s="59">
        <v>0</v>
      </c>
      <c r="N209" s="59">
        <v>0</v>
      </c>
      <c r="O209" s="59">
        <v>0</v>
      </c>
      <c r="P209" s="59">
        <v>0</v>
      </c>
      <c r="Q209" s="59">
        <v>0</v>
      </c>
      <c r="S209" s="51" t="b">
        <f t="shared" si="52"/>
        <v>1</v>
      </c>
      <c r="U209" s="60" t="e">
        <v>#N/A</v>
      </c>
      <c r="V209" s="51" t="s">
        <v>96</v>
      </c>
      <c r="W209" s="60" t="e">
        <v>#N/A</v>
      </c>
      <c r="X209" s="51" t="str">
        <f>X36</f>
        <v>Path C</v>
      </c>
      <c r="Y209" s="60" t="e">
        <v>#N/A</v>
      </c>
      <c r="Z209" s="51" t="str">
        <f>Z36</f>
        <v>Brady</v>
      </c>
      <c r="AA209" s="60" t="e">
        <v>#N/A</v>
      </c>
      <c r="AB209" s="51" t="str">
        <f>AB36</f>
        <v>Idaho</v>
      </c>
      <c r="AC209" s="60" t="e">
        <v>#N/A</v>
      </c>
      <c r="AD209" s="51" t="str">
        <f>AD36</f>
        <v>IPC West</v>
      </c>
      <c r="AG209" s="62" t="str">
        <f t="shared" si="53"/>
        <v>Hide Row</v>
      </c>
    </row>
    <row r="210" spans="1:33" hidden="1">
      <c r="C210" s="52" t="s">
        <v>100</v>
      </c>
      <c r="E210" s="59">
        <f t="shared" ref="E210" si="54">SUM(F210:Q210)</f>
        <v>0</v>
      </c>
      <c r="F210" s="59">
        <v>0</v>
      </c>
      <c r="G210" s="59">
        <v>0</v>
      </c>
      <c r="H210" s="59">
        <v>0</v>
      </c>
      <c r="I210" s="59">
        <v>0</v>
      </c>
      <c r="J210" s="59">
        <v>0</v>
      </c>
      <c r="K210" s="59">
        <v>0</v>
      </c>
      <c r="L210" s="59">
        <v>0</v>
      </c>
      <c r="M210" s="59">
        <v>0</v>
      </c>
      <c r="N210" s="59">
        <v>0</v>
      </c>
      <c r="O210" s="59">
        <v>0</v>
      </c>
      <c r="P210" s="59">
        <v>0</v>
      </c>
      <c r="Q210" s="59">
        <v>0</v>
      </c>
      <c r="S210" s="51" t="b">
        <f t="shared" si="52"/>
        <v>1</v>
      </c>
      <c r="U210" s="60" t="e">
        <v>#N/A</v>
      </c>
      <c r="V210" s="52" t="s">
        <v>100</v>
      </c>
      <c r="W210" s="60" t="e">
        <v>#N/A</v>
      </c>
      <c r="X210" s="51">
        <f>X37</f>
        <v>0</v>
      </c>
      <c r="Y210" s="60" t="e">
        <v>#N/A</v>
      </c>
      <c r="Z210" s="51">
        <f>Z37</f>
        <v>0</v>
      </c>
      <c r="AA210" s="60"/>
      <c r="AC210" s="60"/>
      <c r="AG210" s="62" t="str">
        <f t="shared" si="53"/>
        <v>Hide Row</v>
      </c>
    </row>
    <row r="211" spans="1:33">
      <c r="C211" s="52" t="s">
        <v>101</v>
      </c>
      <c r="E211" s="59">
        <f t="shared" si="51"/>
        <v>3856780</v>
      </c>
      <c r="F211" s="59">
        <v>3078100</v>
      </c>
      <c r="G211" s="59">
        <v>0</v>
      </c>
      <c r="H211" s="59">
        <v>0</v>
      </c>
      <c r="I211" s="59">
        <v>0</v>
      </c>
      <c r="J211" s="59">
        <v>0</v>
      </c>
      <c r="K211" s="59">
        <v>0</v>
      </c>
      <c r="L211" s="59">
        <v>778680</v>
      </c>
      <c r="M211" s="59">
        <v>0</v>
      </c>
      <c r="N211" s="59">
        <v>0</v>
      </c>
      <c r="O211" s="59">
        <v>0</v>
      </c>
      <c r="P211" s="59">
        <v>0</v>
      </c>
      <c r="Q211" s="59">
        <v>0</v>
      </c>
      <c r="S211" s="51" t="b">
        <f t="shared" si="52"/>
        <v>1</v>
      </c>
      <c r="U211" s="60">
        <v>1</v>
      </c>
      <c r="V211" s="51" t="s">
        <v>101</v>
      </c>
      <c r="W211" s="60"/>
      <c r="X211" s="54"/>
      <c r="Y211" s="60" t="e">
        <v>#N/A</v>
      </c>
      <c r="Z211" s="51" t="str">
        <f>Z38</f>
        <v>BPA FPT</v>
      </c>
      <c r="AA211" s="60"/>
      <c r="AC211" s="60"/>
      <c r="AG211" s="62" t="str">
        <f t="shared" si="53"/>
        <v/>
      </c>
    </row>
    <row r="212" spans="1:33" hidden="1">
      <c r="C212" s="52" t="s">
        <v>103</v>
      </c>
      <c r="E212" s="59">
        <f t="shared" si="51"/>
        <v>0</v>
      </c>
      <c r="F212" s="59">
        <v>0</v>
      </c>
      <c r="G212" s="59">
        <v>0</v>
      </c>
      <c r="H212" s="59">
        <v>0</v>
      </c>
      <c r="I212" s="59">
        <v>0</v>
      </c>
      <c r="J212" s="59">
        <v>0</v>
      </c>
      <c r="K212" s="59">
        <v>0</v>
      </c>
      <c r="L212" s="59">
        <v>0</v>
      </c>
      <c r="M212" s="59">
        <v>0</v>
      </c>
      <c r="N212" s="59">
        <v>0</v>
      </c>
      <c r="O212" s="59">
        <v>0</v>
      </c>
      <c r="P212" s="59">
        <v>0</v>
      </c>
      <c r="Q212" s="59">
        <v>0</v>
      </c>
      <c r="S212" s="51" t="b">
        <f t="shared" si="52"/>
        <v>1</v>
      </c>
      <c r="U212" s="60" t="e">
        <v>#N/A</v>
      </c>
      <c r="V212" s="51" t="s">
        <v>103</v>
      </c>
      <c r="W212" s="60"/>
      <c r="Y212" s="60"/>
      <c r="AA212" s="60"/>
      <c r="AC212" s="60"/>
      <c r="AG212" s="62" t="str">
        <f t="shared" si="53"/>
        <v>Hide Row</v>
      </c>
    </row>
    <row r="213" spans="1:33" hidden="1">
      <c r="C213" s="52" t="s">
        <v>104</v>
      </c>
      <c r="E213" s="59">
        <f t="shared" ref="E213" si="55">SUM(F213:Q213)</f>
        <v>0</v>
      </c>
      <c r="F213" s="59">
        <v>0</v>
      </c>
      <c r="G213" s="59">
        <v>0</v>
      </c>
      <c r="H213" s="59">
        <v>0</v>
      </c>
      <c r="I213" s="59">
        <v>0</v>
      </c>
      <c r="J213" s="59">
        <v>0</v>
      </c>
      <c r="K213" s="59">
        <v>0</v>
      </c>
      <c r="L213" s="59">
        <v>0</v>
      </c>
      <c r="M213" s="59">
        <v>0</v>
      </c>
      <c r="N213" s="59">
        <v>0</v>
      </c>
      <c r="O213" s="59">
        <v>0</v>
      </c>
      <c r="P213" s="59">
        <v>0</v>
      </c>
      <c r="Q213" s="59">
        <v>0</v>
      </c>
      <c r="S213" s="51" t="b">
        <f t="shared" si="52"/>
        <v>1</v>
      </c>
      <c r="U213" s="60" t="e">
        <v>#N/A</v>
      </c>
      <c r="V213" s="51" t="s">
        <v>104</v>
      </c>
      <c r="W213" s="60"/>
      <c r="Y213" s="60"/>
      <c r="AA213" s="60"/>
      <c r="AC213" s="60"/>
      <c r="AG213" s="62" t="str">
        <f t="shared" si="53"/>
        <v>Hide Row</v>
      </c>
    </row>
    <row r="214" spans="1:33" hidden="1">
      <c r="C214" s="52" t="s">
        <v>105</v>
      </c>
      <c r="E214" s="59">
        <f t="shared" si="51"/>
        <v>0</v>
      </c>
      <c r="F214" s="59">
        <v>0</v>
      </c>
      <c r="G214" s="59">
        <v>0</v>
      </c>
      <c r="H214" s="59">
        <v>0</v>
      </c>
      <c r="I214" s="59">
        <v>0</v>
      </c>
      <c r="J214" s="59">
        <v>0</v>
      </c>
      <c r="K214" s="59">
        <v>0</v>
      </c>
      <c r="L214" s="59">
        <v>0</v>
      </c>
      <c r="M214" s="59">
        <v>0</v>
      </c>
      <c r="N214" s="59">
        <v>0</v>
      </c>
      <c r="O214" s="59">
        <v>0</v>
      </c>
      <c r="P214" s="59">
        <v>0</v>
      </c>
      <c r="Q214" s="59">
        <v>0</v>
      </c>
      <c r="S214" s="51" t="b">
        <f t="shared" si="52"/>
        <v>1</v>
      </c>
      <c r="U214" s="60" t="e">
        <v>#N/A</v>
      </c>
      <c r="V214" s="51" t="s">
        <v>105</v>
      </c>
      <c r="W214" s="60" t="e">
        <v>#N/A</v>
      </c>
      <c r="X214" s="51" t="str">
        <f>X41</f>
        <v>Cholla</v>
      </c>
      <c r="Y214" s="60" t="e">
        <v>#N/A</v>
      </c>
      <c r="Z214" s="51" t="str">
        <f>Z41</f>
        <v>PP-GC</v>
      </c>
      <c r="AA214" s="60"/>
      <c r="AC214" s="60"/>
      <c r="AG214" s="62" t="str">
        <f t="shared" si="53"/>
        <v>Hide Row</v>
      </c>
    </row>
    <row r="215" spans="1:33" hidden="1">
      <c r="C215" s="52" t="s">
        <v>108</v>
      </c>
      <c r="E215" s="59">
        <f t="shared" si="51"/>
        <v>0</v>
      </c>
      <c r="F215" s="59">
        <v>0</v>
      </c>
      <c r="G215" s="59">
        <v>0</v>
      </c>
      <c r="H215" s="59">
        <v>0</v>
      </c>
      <c r="I215" s="59">
        <v>0</v>
      </c>
      <c r="J215" s="59">
        <v>0</v>
      </c>
      <c r="K215" s="59">
        <v>0</v>
      </c>
      <c r="L215" s="59">
        <v>0</v>
      </c>
      <c r="M215" s="59">
        <v>0</v>
      </c>
      <c r="N215" s="59">
        <v>0</v>
      </c>
      <c r="O215" s="59">
        <v>0</v>
      </c>
      <c r="P215" s="59">
        <v>0</v>
      </c>
      <c r="Q215" s="59">
        <v>0</v>
      </c>
      <c r="S215" s="51" t="b">
        <f t="shared" si="52"/>
        <v>1</v>
      </c>
      <c r="U215" s="60" t="e">
        <v>#N/A</v>
      </c>
      <c r="V215" s="51" t="s">
        <v>108</v>
      </c>
      <c r="W215" s="60"/>
      <c r="X215" s="54"/>
      <c r="Y215" s="60"/>
      <c r="AA215" s="60"/>
      <c r="AC215" s="60"/>
      <c r="AG215" s="62" t="str">
        <f t="shared" si="53"/>
        <v>Hide Row</v>
      </c>
    </row>
    <row r="216" spans="1:33" hidden="1">
      <c r="C216" s="52" t="s">
        <v>109</v>
      </c>
      <c r="E216" s="59">
        <f t="shared" si="51"/>
        <v>0</v>
      </c>
      <c r="F216" s="59">
        <v>0</v>
      </c>
      <c r="G216" s="59">
        <v>0</v>
      </c>
      <c r="H216" s="59">
        <v>0</v>
      </c>
      <c r="I216" s="59">
        <v>0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  <c r="O216" s="59">
        <v>0</v>
      </c>
      <c r="P216" s="59">
        <v>0</v>
      </c>
      <c r="Q216" s="59">
        <v>0</v>
      </c>
      <c r="S216" s="51" t="b">
        <f t="shared" si="52"/>
        <v>1</v>
      </c>
      <c r="U216" s="60" t="e">
        <v>#N/A</v>
      </c>
      <c r="V216" s="51" t="s">
        <v>110</v>
      </c>
      <c r="W216" s="60" t="e">
        <v>#N/A</v>
      </c>
      <c r="X216" s="51" t="str">
        <f>X43</f>
        <v>Utah South</v>
      </c>
      <c r="Y216" s="60" t="e">
        <v>#N/A</v>
      </c>
      <c r="Z216" s="51" t="str">
        <f>Z43</f>
        <v>Path C North</v>
      </c>
      <c r="AA216" s="60"/>
      <c r="AC216" s="60"/>
      <c r="AG216" s="62" t="str">
        <f t="shared" si="53"/>
        <v>Hide Row</v>
      </c>
    </row>
    <row r="217" spans="1:33" hidden="1">
      <c r="C217" s="52" t="s">
        <v>10</v>
      </c>
      <c r="E217" s="59">
        <f t="shared" si="51"/>
        <v>0</v>
      </c>
      <c r="F217" s="59">
        <v>0</v>
      </c>
      <c r="G217" s="59">
        <v>0</v>
      </c>
      <c r="H217" s="59">
        <v>0</v>
      </c>
      <c r="I217" s="59">
        <v>0</v>
      </c>
      <c r="J217" s="59">
        <v>0</v>
      </c>
      <c r="K217" s="59">
        <v>0</v>
      </c>
      <c r="L217" s="59">
        <v>0</v>
      </c>
      <c r="M217" s="59">
        <v>0</v>
      </c>
      <c r="N217" s="59">
        <v>0</v>
      </c>
      <c r="O217" s="59">
        <v>0</v>
      </c>
      <c r="P217" s="59">
        <v>0</v>
      </c>
      <c r="Q217" s="59">
        <v>0</v>
      </c>
      <c r="S217" s="51" t="b">
        <f t="shared" si="52"/>
        <v>1</v>
      </c>
      <c r="U217" s="60" t="e">
        <v>#N/A</v>
      </c>
      <c r="V217" s="51" t="s">
        <v>114</v>
      </c>
      <c r="W217" s="60" t="e">
        <v>#N/A</v>
      </c>
      <c r="X217" s="51" t="str">
        <f>X44</f>
        <v>Walla Walla</v>
      </c>
      <c r="Y217" s="60" t="e">
        <v>#N/A</v>
      </c>
      <c r="Z217" s="51" t="str">
        <f>Z44</f>
        <v>Chehalis</v>
      </c>
      <c r="AA217" s="60"/>
      <c r="AC217" s="60"/>
      <c r="AG217" s="62" t="str">
        <f t="shared" si="53"/>
        <v>Hide Row</v>
      </c>
    </row>
    <row r="218" spans="1:33" hidden="1">
      <c r="C218" s="52" t="s">
        <v>118</v>
      </c>
      <c r="E218" s="59">
        <f t="shared" si="51"/>
        <v>0</v>
      </c>
      <c r="F218" s="59">
        <v>0</v>
      </c>
      <c r="G218" s="59">
        <v>0</v>
      </c>
      <c r="H218" s="59">
        <v>0</v>
      </c>
      <c r="I218" s="59">
        <v>0</v>
      </c>
      <c r="J218" s="59">
        <v>0</v>
      </c>
      <c r="K218" s="59">
        <v>0</v>
      </c>
      <c r="L218" s="59">
        <v>0</v>
      </c>
      <c r="M218" s="59">
        <v>0</v>
      </c>
      <c r="N218" s="59">
        <v>0</v>
      </c>
      <c r="O218" s="59">
        <v>0</v>
      </c>
      <c r="P218" s="59">
        <v>0</v>
      </c>
      <c r="Q218" s="59">
        <v>0</v>
      </c>
      <c r="S218" s="51" t="b">
        <f t="shared" si="52"/>
        <v>1</v>
      </c>
      <c r="U218" s="60" t="e">
        <v>#N/A</v>
      </c>
      <c r="V218" s="51" t="s">
        <v>118</v>
      </c>
      <c r="W218" s="60" t="e">
        <v>#N/A</v>
      </c>
      <c r="X218" s="51" t="str">
        <f>X45</f>
        <v>Jim Bridger</v>
      </c>
      <c r="Y218" s="60" t="e">
        <v>#N/A</v>
      </c>
      <c r="Z218" s="51" t="str">
        <f>Z45</f>
        <v>Amps-Colstrip</v>
      </c>
      <c r="AA218" s="60"/>
      <c r="AC218" s="60"/>
      <c r="AG218" s="62" t="str">
        <f t="shared" si="53"/>
        <v>Hide Row</v>
      </c>
    </row>
    <row r="219" spans="1:33" hidden="1">
      <c r="C219" s="52" t="s">
        <v>122</v>
      </c>
      <c r="D219" s="72"/>
      <c r="E219" s="59">
        <f t="shared" si="51"/>
        <v>0</v>
      </c>
      <c r="F219" s="59">
        <v>0</v>
      </c>
      <c r="G219" s="59">
        <v>0</v>
      </c>
      <c r="H219" s="59">
        <v>0</v>
      </c>
      <c r="I219" s="59">
        <v>0</v>
      </c>
      <c r="J219" s="59">
        <v>0</v>
      </c>
      <c r="K219" s="59">
        <v>0</v>
      </c>
      <c r="L219" s="59">
        <v>0</v>
      </c>
      <c r="M219" s="59">
        <v>0</v>
      </c>
      <c r="N219" s="59">
        <v>0</v>
      </c>
      <c r="O219" s="59">
        <v>0</v>
      </c>
      <c r="P219" s="59">
        <v>0</v>
      </c>
      <c r="Q219" s="59">
        <v>0</v>
      </c>
      <c r="R219" s="54"/>
      <c r="S219" s="51" t="b">
        <f t="shared" si="52"/>
        <v>1</v>
      </c>
      <c r="U219" s="60" t="e">
        <v>#N/A</v>
      </c>
      <c r="V219" s="51" t="s">
        <v>123</v>
      </c>
      <c r="W219" s="60" t="e">
        <v>#N/A</v>
      </c>
      <c r="X219" s="51" t="str">
        <f>X46</f>
        <v>Wyoming Central</v>
      </c>
      <c r="Y219" s="60" t="e">
        <v>#N/A</v>
      </c>
      <c r="Z219" s="51" t="str">
        <f>Z46</f>
        <v>Trona</v>
      </c>
      <c r="AA219" s="60"/>
      <c r="AC219" s="60"/>
      <c r="AG219" s="62" t="str">
        <f t="shared" si="53"/>
        <v>Hide Row</v>
      </c>
    </row>
    <row r="220" spans="1:33">
      <c r="D220" s="72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4"/>
      <c r="U220" s="60"/>
      <c r="W220" s="60"/>
      <c r="Y220" s="60"/>
      <c r="AA220" s="60"/>
      <c r="AC220" s="60"/>
    </row>
    <row r="221" spans="1:33">
      <c r="D221" s="72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4"/>
      <c r="U221" s="60"/>
      <c r="W221" s="60"/>
      <c r="Y221" s="60"/>
      <c r="AA221" s="60"/>
      <c r="AC221" s="60"/>
    </row>
    <row r="222" spans="1:33">
      <c r="A222" s="71"/>
      <c r="B222" s="64"/>
      <c r="C222" s="58" t="s">
        <v>431</v>
      </c>
      <c r="D222" s="72"/>
      <c r="E222" s="59">
        <f>SUM(F222:Q222)</f>
        <v>0</v>
      </c>
      <c r="F222" s="65">
        <v>0</v>
      </c>
      <c r="G222" s="65">
        <v>0</v>
      </c>
      <c r="H222" s="65">
        <v>0</v>
      </c>
      <c r="I222" s="65">
        <v>0</v>
      </c>
      <c r="J222" s="65">
        <v>0</v>
      </c>
      <c r="K222" s="65">
        <v>0</v>
      </c>
      <c r="L222" s="65">
        <v>0</v>
      </c>
      <c r="M222" s="65">
        <v>0</v>
      </c>
      <c r="N222" s="65">
        <v>0</v>
      </c>
      <c r="O222" s="65">
        <v>0</v>
      </c>
      <c r="P222" s="65">
        <v>0</v>
      </c>
      <c r="Q222" s="65">
        <v>0</v>
      </c>
      <c r="R222" s="54"/>
      <c r="U222" s="60" t="e">
        <v>#N/A</v>
      </c>
      <c r="V222" s="51" t="s">
        <v>432</v>
      </c>
      <c r="W222" s="60" t="e">
        <v>#N/A</v>
      </c>
      <c r="X222" s="51" t="s">
        <v>433</v>
      </c>
      <c r="Y222" s="60" t="e">
        <v>#N/A</v>
      </c>
      <c r="Z222" s="51" t="s">
        <v>434</v>
      </c>
      <c r="AA222" s="60">
        <v>7</v>
      </c>
      <c r="AB222" s="51" t="s">
        <v>435</v>
      </c>
      <c r="AC222" s="60"/>
      <c r="AG222" s="62" t="str">
        <f t="shared" si="53"/>
        <v/>
      </c>
    </row>
    <row r="223" spans="1:33" s="72" customFormat="1">
      <c r="A223" s="73"/>
      <c r="C223" s="52" t="s">
        <v>132</v>
      </c>
      <c r="E223" s="65">
        <f>SUM(F223:Q223)</f>
        <v>0</v>
      </c>
      <c r="F223" s="65">
        <v>0</v>
      </c>
      <c r="G223" s="65">
        <v>0</v>
      </c>
      <c r="H223" s="65">
        <v>0</v>
      </c>
      <c r="I223" s="65">
        <v>0</v>
      </c>
      <c r="J223" s="65">
        <v>0</v>
      </c>
      <c r="K223" s="65">
        <v>0</v>
      </c>
      <c r="L223" s="65">
        <v>0</v>
      </c>
      <c r="M223" s="65">
        <v>0</v>
      </c>
      <c r="N223" s="65">
        <v>0</v>
      </c>
      <c r="O223" s="65">
        <v>0</v>
      </c>
      <c r="P223" s="65">
        <v>0</v>
      </c>
      <c r="Q223" s="65">
        <v>0</v>
      </c>
      <c r="R223" s="75"/>
      <c r="S223" s="51" t="b">
        <f>C552=C223</f>
        <v>1</v>
      </c>
      <c r="T223" s="54"/>
      <c r="U223" s="60" t="e">
        <v>#N/A</v>
      </c>
      <c r="V223" s="51" t="s">
        <v>436</v>
      </c>
      <c r="W223" s="60" t="e">
        <v>#N/A</v>
      </c>
      <c r="X223" s="51" t="s">
        <v>437</v>
      </c>
      <c r="Y223" s="60"/>
      <c r="AA223" s="60"/>
      <c r="AC223" s="60"/>
      <c r="AG223" s="62" t="str">
        <f t="shared" si="53"/>
        <v>Hide Row</v>
      </c>
    </row>
    <row r="224" spans="1:33" s="72" customFormat="1">
      <c r="A224" s="73"/>
      <c r="C224" s="97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53"/>
      <c r="T224" s="54"/>
      <c r="U224" s="51"/>
      <c r="V224" s="51"/>
      <c r="W224" s="51"/>
      <c r="X224" s="51"/>
      <c r="Y224" s="51"/>
      <c r="Z224" s="51"/>
      <c r="AC224" s="51"/>
      <c r="AD224" s="51"/>
      <c r="AE224" s="51"/>
      <c r="AF224" s="51"/>
      <c r="AG224" s="51"/>
    </row>
    <row r="225" spans="1:33">
      <c r="B225" s="51" t="str">
        <f>"Total "&amp;B205</f>
        <v>Total Short Term Firm Purchases</v>
      </c>
      <c r="E225" s="59">
        <f>SUM(F225:Q225)</f>
        <v>3856780</v>
      </c>
      <c r="F225" s="59">
        <f t="shared" ref="F225:Q225" si="56">SUM(F206:F223)</f>
        <v>3078100</v>
      </c>
      <c r="G225" s="59">
        <f t="shared" si="56"/>
        <v>0</v>
      </c>
      <c r="H225" s="59">
        <f t="shared" si="56"/>
        <v>0</v>
      </c>
      <c r="I225" s="59">
        <f t="shared" si="56"/>
        <v>0</v>
      </c>
      <c r="J225" s="59">
        <f t="shared" si="56"/>
        <v>0</v>
      </c>
      <c r="K225" s="59">
        <f t="shared" si="56"/>
        <v>0</v>
      </c>
      <c r="L225" s="59">
        <f t="shared" si="56"/>
        <v>778680</v>
      </c>
      <c r="M225" s="59">
        <f t="shared" si="56"/>
        <v>0</v>
      </c>
      <c r="N225" s="59">
        <f t="shared" si="56"/>
        <v>0</v>
      </c>
      <c r="O225" s="59">
        <f t="shared" si="56"/>
        <v>0</v>
      </c>
      <c r="P225" s="59">
        <f t="shared" si="56"/>
        <v>0</v>
      </c>
      <c r="Q225" s="59">
        <f t="shared" si="56"/>
        <v>0</v>
      </c>
    </row>
    <row r="226" spans="1:33"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</row>
    <row r="227" spans="1:33">
      <c r="B227" s="51" t="s">
        <v>438</v>
      </c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U227" s="41" t="s">
        <v>439</v>
      </c>
    </row>
    <row r="228" spans="1:33">
      <c r="C228" s="52" t="s">
        <v>90</v>
      </c>
      <c r="E228" s="66">
        <f t="shared" ref="E228:E236" si="57">SUM(F228:Q228)</f>
        <v>5949076.1287000002</v>
      </c>
      <c r="F228" s="59">
        <v>367706.15</v>
      </c>
      <c r="G228" s="59">
        <v>654629.31000000006</v>
      </c>
      <c r="H228" s="59">
        <v>1147374.8399999999</v>
      </c>
      <c r="I228" s="59">
        <v>410988.21</v>
      </c>
      <c r="J228" s="59">
        <v>21434.030699999999</v>
      </c>
      <c r="K228" s="59">
        <v>244463.58</v>
      </c>
      <c r="L228" s="59">
        <v>335755.34</v>
      </c>
      <c r="M228" s="59">
        <v>293958.44</v>
      </c>
      <c r="N228" s="59">
        <v>814122.61199999996</v>
      </c>
      <c r="O228" s="59">
        <v>933278.54999999993</v>
      </c>
      <c r="P228" s="59">
        <v>114361.63200000001</v>
      </c>
      <c r="Q228" s="59">
        <v>611003.43400000001</v>
      </c>
      <c r="R228" s="54"/>
      <c r="S228" s="51" t="b">
        <f t="shared" ref="S228:S236" si="58">C557=C228</f>
        <v>1</v>
      </c>
      <c r="U228" s="60">
        <v>1</v>
      </c>
      <c r="V228" s="51" t="s">
        <v>90</v>
      </c>
      <c r="W228" s="60" t="e">
        <v>#N/A</v>
      </c>
      <c r="X228" s="51">
        <f>X54</f>
        <v>0</v>
      </c>
      <c r="Y228" s="61">
        <v>1</v>
      </c>
      <c r="Z228" s="77" t="s">
        <v>440</v>
      </c>
      <c r="AG228" s="62" t="str">
        <f t="shared" si="53"/>
        <v/>
      </c>
    </row>
    <row r="229" spans="1:33">
      <c r="C229" s="52" t="s">
        <v>93</v>
      </c>
      <c r="E229" s="66">
        <f t="shared" si="57"/>
        <v>0</v>
      </c>
      <c r="F229" s="59">
        <v>0</v>
      </c>
      <c r="G229" s="59">
        <v>0</v>
      </c>
      <c r="H229" s="59">
        <v>0</v>
      </c>
      <c r="I229" s="59">
        <v>0</v>
      </c>
      <c r="J229" s="59">
        <v>0</v>
      </c>
      <c r="K229" s="59">
        <v>0</v>
      </c>
      <c r="L229" s="59">
        <v>0</v>
      </c>
      <c r="M229" s="59">
        <v>0</v>
      </c>
      <c r="N229" s="59">
        <v>0</v>
      </c>
      <c r="O229" s="59">
        <v>0</v>
      </c>
      <c r="P229" s="59">
        <v>0</v>
      </c>
      <c r="Q229" s="59">
        <v>0</v>
      </c>
      <c r="R229" s="54"/>
      <c r="S229" s="51" t="b">
        <f t="shared" si="58"/>
        <v>1</v>
      </c>
      <c r="U229" s="60" t="e">
        <v>#N/A</v>
      </c>
      <c r="V229" s="51" t="s">
        <v>93</v>
      </c>
      <c r="W229" s="60" t="e">
        <v>#N/A</v>
      </c>
      <c r="X229" s="51" t="str">
        <f>X55</f>
        <v>DSW</v>
      </c>
      <c r="Y229" s="61" t="e">
        <v>#N/A</v>
      </c>
      <c r="Z229" s="77" t="s">
        <v>441</v>
      </c>
      <c r="AG229" s="62" t="str">
        <f t="shared" si="53"/>
        <v>Hide Row</v>
      </c>
    </row>
    <row r="230" spans="1:33">
      <c r="C230" s="52" t="s">
        <v>100</v>
      </c>
      <c r="E230" s="66">
        <f t="shared" ref="E230" si="59">SUM(F230:Q230)</f>
        <v>0</v>
      </c>
      <c r="F230" s="59">
        <v>0</v>
      </c>
      <c r="G230" s="59">
        <v>0</v>
      </c>
      <c r="H230" s="59">
        <v>0</v>
      </c>
      <c r="I230" s="59">
        <v>0</v>
      </c>
      <c r="J230" s="59">
        <v>0</v>
      </c>
      <c r="K230" s="59">
        <v>0</v>
      </c>
      <c r="L230" s="59">
        <v>0</v>
      </c>
      <c r="M230" s="59">
        <v>0</v>
      </c>
      <c r="N230" s="59">
        <v>0</v>
      </c>
      <c r="O230" s="59">
        <v>0</v>
      </c>
      <c r="P230" s="59">
        <v>0</v>
      </c>
      <c r="Q230" s="59">
        <v>0</v>
      </c>
      <c r="R230" s="54"/>
      <c r="S230" s="51" t="b">
        <f t="shared" si="58"/>
        <v>1</v>
      </c>
      <c r="U230" s="60" t="e">
        <v>#N/A</v>
      </c>
      <c r="V230" s="52" t="s">
        <v>100</v>
      </c>
      <c r="W230" s="54"/>
      <c r="X230" s="51">
        <f>X56</f>
        <v>0</v>
      </c>
      <c r="AG230" s="62" t="str">
        <f t="shared" si="53"/>
        <v>Hide Row</v>
      </c>
    </row>
    <row r="231" spans="1:33" s="72" customFormat="1">
      <c r="A231" s="73"/>
      <c r="C231" s="52" t="s">
        <v>101</v>
      </c>
      <c r="D231" s="51"/>
      <c r="E231" s="66">
        <f t="shared" si="57"/>
        <v>87016150.5</v>
      </c>
      <c r="F231" s="59">
        <v>7576634.5</v>
      </c>
      <c r="G231" s="59">
        <v>12781122</v>
      </c>
      <c r="H231" s="59">
        <v>13122882</v>
      </c>
      <c r="I231" s="59">
        <v>10715133</v>
      </c>
      <c r="J231" s="59">
        <v>9352480</v>
      </c>
      <c r="K231" s="59">
        <v>2828422.8</v>
      </c>
      <c r="L231" s="59">
        <v>3819116.2</v>
      </c>
      <c r="M231" s="59">
        <v>4036048.2</v>
      </c>
      <c r="N231" s="59">
        <v>5438622</v>
      </c>
      <c r="O231" s="59">
        <v>4177400.8</v>
      </c>
      <c r="P231" s="59">
        <v>5452326</v>
      </c>
      <c r="Q231" s="59">
        <v>7715963</v>
      </c>
      <c r="R231" s="53"/>
      <c r="S231" s="51" t="b">
        <f t="shared" si="58"/>
        <v>1</v>
      </c>
      <c r="T231" s="54"/>
      <c r="U231" s="60">
        <v>2</v>
      </c>
      <c r="V231" s="51" t="s">
        <v>101</v>
      </c>
      <c r="W231" s="54"/>
      <c r="X231" s="54"/>
      <c r="AG231" s="62" t="str">
        <f t="shared" si="53"/>
        <v/>
      </c>
    </row>
    <row r="232" spans="1:33" s="72" customFormat="1">
      <c r="A232" s="73"/>
      <c r="C232" s="52" t="s">
        <v>103</v>
      </c>
      <c r="D232" s="51"/>
      <c r="E232" s="66">
        <f t="shared" si="57"/>
        <v>0</v>
      </c>
      <c r="F232" s="59">
        <v>0</v>
      </c>
      <c r="G232" s="59">
        <v>0</v>
      </c>
      <c r="H232" s="59">
        <v>0</v>
      </c>
      <c r="I232" s="59">
        <v>0</v>
      </c>
      <c r="J232" s="59">
        <v>0</v>
      </c>
      <c r="K232" s="59">
        <v>0</v>
      </c>
      <c r="L232" s="59">
        <v>0</v>
      </c>
      <c r="M232" s="59">
        <v>0</v>
      </c>
      <c r="N232" s="59">
        <v>0</v>
      </c>
      <c r="O232" s="59">
        <v>0</v>
      </c>
      <c r="P232" s="59">
        <v>0</v>
      </c>
      <c r="Q232" s="59">
        <v>0</v>
      </c>
      <c r="R232" s="53"/>
      <c r="S232" s="51" t="b">
        <f t="shared" si="58"/>
        <v>1</v>
      </c>
      <c r="T232" s="54"/>
      <c r="U232" s="60" t="e">
        <v>#N/A</v>
      </c>
      <c r="V232" s="51" t="s">
        <v>103</v>
      </c>
      <c r="W232" s="54"/>
      <c r="X232" s="54"/>
      <c r="Y232" s="61" t="e">
        <v>#N/A</v>
      </c>
      <c r="Z232" s="77" t="s">
        <v>442</v>
      </c>
      <c r="AG232" s="62" t="str">
        <f t="shared" si="53"/>
        <v>Hide Row</v>
      </c>
    </row>
    <row r="233" spans="1:33" s="72" customFormat="1">
      <c r="A233" s="73"/>
      <c r="C233" s="52" t="s">
        <v>104</v>
      </c>
      <c r="D233" s="51"/>
      <c r="E233" s="66">
        <f t="shared" ref="E233" si="60">SUM(F233:Q233)</f>
        <v>258694.74749999997</v>
      </c>
      <c r="F233" s="59">
        <v>24743.25</v>
      </c>
      <c r="G233" s="59">
        <v>16704.75</v>
      </c>
      <c r="H233" s="59">
        <v>69379.08</v>
      </c>
      <c r="I233" s="59">
        <v>36321.008000000002</v>
      </c>
      <c r="J233" s="59">
        <v>0</v>
      </c>
      <c r="K233" s="59">
        <v>0</v>
      </c>
      <c r="L233" s="59">
        <v>0</v>
      </c>
      <c r="M233" s="59">
        <v>2362.2020000000002</v>
      </c>
      <c r="N233" s="59">
        <v>105123.54</v>
      </c>
      <c r="O233" s="59">
        <v>0</v>
      </c>
      <c r="P233" s="59">
        <v>0</v>
      </c>
      <c r="Q233" s="59">
        <v>4060.9175</v>
      </c>
      <c r="R233" s="53"/>
      <c r="S233" s="51" t="b">
        <f t="shared" si="58"/>
        <v>1</v>
      </c>
      <c r="T233" s="54"/>
      <c r="U233" s="60">
        <v>3</v>
      </c>
      <c r="V233" s="51" t="s">
        <v>104</v>
      </c>
      <c r="W233" s="54"/>
      <c r="X233" s="54"/>
      <c r="AG233" s="62" t="str">
        <f t="shared" si="53"/>
        <v/>
      </c>
    </row>
    <row r="234" spans="1:33" s="72" customFormat="1">
      <c r="A234" s="73"/>
      <c r="C234" s="52" t="s">
        <v>105</v>
      </c>
      <c r="D234" s="51"/>
      <c r="E234" s="66">
        <f t="shared" si="57"/>
        <v>0</v>
      </c>
      <c r="F234" s="59">
        <v>0</v>
      </c>
      <c r="G234" s="59">
        <v>0</v>
      </c>
      <c r="H234" s="59">
        <v>0</v>
      </c>
      <c r="I234" s="59">
        <v>0</v>
      </c>
      <c r="J234" s="59">
        <v>0</v>
      </c>
      <c r="K234" s="59">
        <v>0</v>
      </c>
      <c r="L234" s="59">
        <v>0</v>
      </c>
      <c r="M234" s="59">
        <v>0</v>
      </c>
      <c r="N234" s="59">
        <v>0</v>
      </c>
      <c r="O234" s="59">
        <v>0</v>
      </c>
      <c r="P234" s="59">
        <v>0</v>
      </c>
      <c r="Q234" s="59">
        <v>0</v>
      </c>
      <c r="R234" s="53"/>
      <c r="S234" s="51" t="b">
        <f t="shared" si="58"/>
        <v>1</v>
      </c>
      <c r="T234" s="54"/>
      <c r="U234" s="60" t="e">
        <v>#N/A</v>
      </c>
      <c r="V234" s="51" t="s">
        <v>105</v>
      </c>
      <c r="W234" s="54"/>
      <c r="X234" s="54"/>
      <c r="AG234" s="62" t="str">
        <f t="shared" si="53"/>
        <v>Hide Row</v>
      </c>
    </row>
    <row r="235" spans="1:33">
      <c r="C235" s="52" t="s">
        <v>108</v>
      </c>
      <c r="E235" s="66">
        <f t="shared" si="57"/>
        <v>0</v>
      </c>
      <c r="F235" s="59">
        <v>0</v>
      </c>
      <c r="G235" s="59">
        <v>0</v>
      </c>
      <c r="H235" s="59">
        <v>0</v>
      </c>
      <c r="I235" s="59">
        <v>0</v>
      </c>
      <c r="J235" s="59">
        <v>0</v>
      </c>
      <c r="K235" s="59">
        <v>0</v>
      </c>
      <c r="L235" s="59">
        <v>0</v>
      </c>
      <c r="M235" s="59">
        <v>0</v>
      </c>
      <c r="N235" s="59">
        <v>0</v>
      </c>
      <c r="O235" s="59">
        <v>0</v>
      </c>
      <c r="P235" s="59">
        <v>0</v>
      </c>
      <c r="Q235" s="59">
        <v>0</v>
      </c>
      <c r="S235" s="51" t="b">
        <f t="shared" si="58"/>
        <v>1</v>
      </c>
      <c r="U235" s="60" t="e">
        <v>#N/A</v>
      </c>
      <c r="V235" s="51" t="s">
        <v>108</v>
      </c>
      <c r="W235" s="54"/>
      <c r="X235" s="54"/>
      <c r="AG235" s="62" t="str">
        <f t="shared" si="53"/>
        <v>Hide Row</v>
      </c>
    </row>
    <row r="236" spans="1:33" s="72" customFormat="1">
      <c r="A236" s="73"/>
      <c r="C236" s="52" t="s">
        <v>443</v>
      </c>
      <c r="E236" s="65">
        <f t="shared" si="57"/>
        <v>0</v>
      </c>
      <c r="F236" s="65">
        <v>0</v>
      </c>
      <c r="G236" s="65">
        <v>0</v>
      </c>
      <c r="H236" s="65">
        <v>0</v>
      </c>
      <c r="I236" s="65">
        <v>0</v>
      </c>
      <c r="J236" s="65">
        <v>0</v>
      </c>
      <c r="K236" s="65">
        <v>0</v>
      </c>
      <c r="L236" s="65">
        <v>0</v>
      </c>
      <c r="M236" s="65">
        <v>0</v>
      </c>
      <c r="N236" s="65">
        <v>0</v>
      </c>
      <c r="O236" s="65">
        <v>0</v>
      </c>
      <c r="P236" s="65">
        <v>0</v>
      </c>
      <c r="Q236" s="65">
        <v>0</v>
      </c>
      <c r="R236" s="53"/>
      <c r="S236" s="51" t="b">
        <f t="shared" si="58"/>
        <v>1</v>
      </c>
      <c r="T236" s="54"/>
      <c r="X236" s="51"/>
      <c r="Z236" s="63" t="s">
        <v>152</v>
      </c>
      <c r="AG236" s="64"/>
    </row>
    <row r="237" spans="1:33" s="72" customFormat="1">
      <c r="A237" s="73"/>
      <c r="C237" s="97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3"/>
      <c r="T237" s="54"/>
      <c r="X237" s="51"/>
    </row>
    <row r="238" spans="1:33">
      <c r="B238" s="51" t="str">
        <f>"Total "&amp;B227</f>
        <v>Total System Balancing Purchases</v>
      </c>
      <c r="E238" s="59">
        <f>SUM(F238:Q238)</f>
        <v>93223921.376200005</v>
      </c>
      <c r="F238" s="66">
        <f t="shared" ref="F238:Q238" si="61">SUM(F228:F236)</f>
        <v>7969083.9000000004</v>
      </c>
      <c r="G238" s="66">
        <f t="shared" si="61"/>
        <v>13452456.060000001</v>
      </c>
      <c r="H238" s="66">
        <f t="shared" si="61"/>
        <v>14339635.92</v>
      </c>
      <c r="I238" s="66">
        <f t="shared" si="61"/>
        <v>11162442.218</v>
      </c>
      <c r="J238" s="66">
        <f t="shared" si="61"/>
        <v>9373914.0307</v>
      </c>
      <c r="K238" s="66">
        <f t="shared" si="61"/>
        <v>3072886.38</v>
      </c>
      <c r="L238" s="66">
        <f t="shared" si="61"/>
        <v>4154871.54</v>
      </c>
      <c r="M238" s="66">
        <f t="shared" si="61"/>
        <v>4332368.8420000002</v>
      </c>
      <c r="N238" s="66">
        <f t="shared" si="61"/>
        <v>6357868.1519999998</v>
      </c>
      <c r="O238" s="66">
        <f t="shared" si="61"/>
        <v>5110679.3499999996</v>
      </c>
      <c r="P238" s="66">
        <f t="shared" si="61"/>
        <v>5566687.6320000002</v>
      </c>
      <c r="Q238" s="66">
        <f t="shared" si="61"/>
        <v>8331027.3515000008</v>
      </c>
    </row>
    <row r="239" spans="1:33"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</row>
    <row r="240" spans="1:33" ht="15.75">
      <c r="A240" s="56" t="str">
        <f>"Total "&amp;A69</f>
        <v>Total Purchased Power &amp; Net Interchange</v>
      </c>
      <c r="E240" s="59">
        <f>SUM(F240:Q240)</f>
        <v>191236075.98181355</v>
      </c>
      <c r="F240" s="66">
        <f t="shared" ref="F240:Q240" si="62">F180+F203+F225+F238</f>
        <v>18466651.342021756</v>
      </c>
      <c r="G240" s="66">
        <f t="shared" si="62"/>
        <v>19116945.76993335</v>
      </c>
      <c r="H240" s="66">
        <f t="shared" si="62"/>
        <v>19412171.385960683</v>
      </c>
      <c r="I240" s="66">
        <f t="shared" si="62"/>
        <v>19774568.265388779</v>
      </c>
      <c r="J240" s="66">
        <f t="shared" si="62"/>
        <v>18210718.905282363</v>
      </c>
      <c r="K240" s="66">
        <f t="shared" si="62"/>
        <v>11196725.824248686</v>
      </c>
      <c r="L240" s="66">
        <f t="shared" si="62"/>
        <v>13896866.715662699</v>
      </c>
      <c r="M240" s="66">
        <f t="shared" si="62"/>
        <v>13047697.816253284</v>
      </c>
      <c r="N240" s="66">
        <f t="shared" si="62"/>
        <v>15241136.721760277</v>
      </c>
      <c r="O240" s="66">
        <f t="shared" si="62"/>
        <v>13503148.21376629</v>
      </c>
      <c r="P240" s="66">
        <f t="shared" si="62"/>
        <v>13214437.823472772</v>
      </c>
      <c r="Q240" s="66">
        <f t="shared" si="62"/>
        <v>16155007.198062617</v>
      </c>
    </row>
    <row r="241" spans="1:33">
      <c r="E241" s="66"/>
      <c r="F241" s="66"/>
      <c r="G241" s="66"/>
      <c r="H241" s="66"/>
      <c r="I241" s="68"/>
      <c r="J241" s="66"/>
      <c r="K241" s="66"/>
      <c r="L241" s="66"/>
      <c r="M241" s="66"/>
      <c r="N241" s="66"/>
      <c r="O241" s="66"/>
      <c r="P241" s="66"/>
      <c r="Q241" s="66"/>
    </row>
    <row r="242" spans="1:33" ht="15.75">
      <c r="A242" s="56" t="s">
        <v>444</v>
      </c>
      <c r="E242" s="67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S242" s="98"/>
    </row>
    <row r="243" spans="1:33">
      <c r="C243" s="52" t="s">
        <v>445</v>
      </c>
      <c r="E243" s="67">
        <f>SUM(F243:Q243)</f>
        <v>108922013</v>
      </c>
      <c r="F243" s="59">
        <v>8750983</v>
      </c>
      <c r="G243" s="59">
        <v>8925435</v>
      </c>
      <c r="H243" s="59">
        <v>9099298</v>
      </c>
      <c r="I243" s="59">
        <v>9417351</v>
      </c>
      <c r="J243" s="59">
        <v>8900472</v>
      </c>
      <c r="K243" s="59">
        <v>8998228</v>
      </c>
      <c r="L243" s="59">
        <v>9109000</v>
      </c>
      <c r="M243" s="59">
        <v>9169416</v>
      </c>
      <c r="N243" s="59">
        <v>9078003</v>
      </c>
      <c r="O243" s="59">
        <v>9224523</v>
      </c>
      <c r="P243" s="59">
        <v>9124175</v>
      </c>
      <c r="Q243" s="59">
        <v>9125129</v>
      </c>
      <c r="U243" s="60" t="e">
        <v>#N/A</v>
      </c>
      <c r="V243" s="63" t="s">
        <v>446</v>
      </c>
      <c r="W243" s="60">
        <v>41</v>
      </c>
      <c r="X243" s="63" t="s">
        <v>447</v>
      </c>
      <c r="AG243" s="62" t="str">
        <f>IF(OR(ISNUMBER(U243),ISNUMBER(W243),ISNUMBER(Y243),ISNUMBER(AA243),ISNUMBER(AC243)),"","Hide Row")</f>
        <v/>
      </c>
    </row>
    <row r="244" spans="1:33" hidden="1">
      <c r="E244" s="67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U244" s="60"/>
      <c r="V244" s="63"/>
      <c r="W244" s="60"/>
      <c r="X244" s="63"/>
      <c r="AG244" s="62" t="str">
        <f>IF(OR(ISNUMBER(U244),ISNUMBER(W244),ISNUMBER(Y244),ISNUMBER(AA244),ISNUMBER(AC244)),"","Hide Row")</f>
        <v>Hide Row</v>
      </c>
    </row>
    <row r="245" spans="1:33" s="72" customFormat="1">
      <c r="A245" s="73"/>
      <c r="C245" s="97" t="s">
        <v>448</v>
      </c>
      <c r="E245" s="99">
        <f>SUM(F245:Q245)</f>
        <v>0</v>
      </c>
      <c r="F245" s="65">
        <v>0</v>
      </c>
      <c r="G245" s="65">
        <v>0</v>
      </c>
      <c r="H245" s="65">
        <v>0</v>
      </c>
      <c r="I245" s="65">
        <v>0</v>
      </c>
      <c r="J245" s="65">
        <v>0</v>
      </c>
      <c r="K245" s="65">
        <v>0</v>
      </c>
      <c r="L245" s="65">
        <v>0</v>
      </c>
      <c r="M245" s="65">
        <v>0</v>
      </c>
      <c r="N245" s="65">
        <v>0</v>
      </c>
      <c r="O245" s="65">
        <v>0</v>
      </c>
      <c r="P245" s="65">
        <v>0</v>
      </c>
      <c r="Q245" s="65">
        <v>0</v>
      </c>
      <c r="R245" s="53"/>
      <c r="S245" s="51"/>
      <c r="T245" s="54"/>
      <c r="U245" s="51"/>
      <c r="V245" s="51"/>
      <c r="W245" s="51"/>
      <c r="X245" s="51"/>
      <c r="Z245" s="63" t="s">
        <v>152</v>
      </c>
    </row>
    <row r="246" spans="1:33" s="72" customFormat="1">
      <c r="A246" s="73"/>
      <c r="C246" s="97"/>
      <c r="E246" s="99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53"/>
      <c r="S246" s="100"/>
      <c r="T246" s="54"/>
      <c r="U246" s="51"/>
      <c r="V246" s="51"/>
      <c r="W246" s="51"/>
      <c r="X246" s="51"/>
      <c r="Z246" s="63"/>
    </row>
    <row r="247" spans="1:33" ht="15.75">
      <c r="A247" s="56" t="str">
        <f>"Total "&amp;A242</f>
        <v>Total Wheeling &amp; U. of F. Expense</v>
      </c>
      <c r="E247" s="59">
        <f>SUM(F247:Q247)</f>
        <v>108922013</v>
      </c>
      <c r="F247" s="66">
        <f t="shared" ref="F247:Q247" si="63">F243+F245</f>
        <v>8750983</v>
      </c>
      <c r="G247" s="66">
        <f t="shared" si="63"/>
        <v>8925435</v>
      </c>
      <c r="H247" s="66">
        <f t="shared" si="63"/>
        <v>9099298</v>
      </c>
      <c r="I247" s="66">
        <f t="shared" si="63"/>
        <v>9417351</v>
      </c>
      <c r="J247" s="66">
        <f t="shared" si="63"/>
        <v>8900472</v>
      </c>
      <c r="K247" s="66">
        <f t="shared" si="63"/>
        <v>8998228</v>
      </c>
      <c r="L247" s="66">
        <f t="shared" si="63"/>
        <v>9109000</v>
      </c>
      <c r="M247" s="66">
        <f t="shared" si="63"/>
        <v>9169416</v>
      </c>
      <c r="N247" s="66">
        <f t="shared" si="63"/>
        <v>9078003</v>
      </c>
      <c r="O247" s="66">
        <f t="shared" si="63"/>
        <v>9224523</v>
      </c>
      <c r="P247" s="66">
        <f t="shared" si="63"/>
        <v>9124175</v>
      </c>
      <c r="Q247" s="66">
        <f t="shared" si="63"/>
        <v>9125129</v>
      </c>
      <c r="S247" s="98"/>
    </row>
    <row r="248" spans="1:33"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</row>
    <row r="249" spans="1:33" ht="15.75">
      <c r="A249" s="56" t="s">
        <v>449</v>
      </c>
      <c r="E249" s="66"/>
      <c r="F249" s="66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U249" s="41" t="s">
        <v>450</v>
      </c>
      <c r="AA249" s="41" t="s">
        <v>451</v>
      </c>
      <c r="AC249" s="41" t="s">
        <v>452</v>
      </c>
    </row>
    <row r="250" spans="1:33">
      <c r="C250" s="52" t="s">
        <v>453</v>
      </c>
      <c r="D250" s="101"/>
      <c r="E250" s="66">
        <f t="shared" ref="E250:E259" si="64">SUM(F250:Q250)</f>
        <v>0</v>
      </c>
      <c r="F250" s="59">
        <v>0</v>
      </c>
      <c r="G250" s="59">
        <v>0</v>
      </c>
      <c r="H250" s="59">
        <v>0</v>
      </c>
      <c r="I250" s="59">
        <v>0</v>
      </c>
      <c r="J250" s="59">
        <v>0</v>
      </c>
      <c r="K250" s="59">
        <v>0</v>
      </c>
      <c r="L250" s="59">
        <v>0</v>
      </c>
      <c r="M250" s="59">
        <v>0</v>
      </c>
      <c r="N250" s="59">
        <v>0</v>
      </c>
      <c r="O250" s="59">
        <v>0</v>
      </c>
      <c r="P250" s="59">
        <v>0</v>
      </c>
      <c r="Q250" s="59">
        <v>0</v>
      </c>
      <c r="S250" s="51" t="b">
        <f t="shared" ref="S250:S259" si="65">C572=C250</f>
        <v>1</v>
      </c>
      <c r="U250" s="60" t="e">
        <v>#N/A</v>
      </c>
      <c r="V250" s="51" t="s">
        <v>453</v>
      </c>
      <c r="W250" s="60"/>
      <c r="Y250" s="60"/>
      <c r="AA250" s="60">
        <v>2</v>
      </c>
      <c r="AC250" s="60" t="e">
        <v>#N/A</v>
      </c>
      <c r="AG250" s="62" t="str">
        <f t="shared" ref="AG250:AG262" si="66">IF(OR(ISNUMBER(U250),ISNUMBER(W250),ISNUMBER(Y250),ISNUMBER(AA250),ISNUMBER(AC250)),"","Hide Row")</f>
        <v/>
      </c>
    </row>
    <row r="251" spans="1:33">
      <c r="C251" s="52" t="s">
        <v>106</v>
      </c>
      <c r="D251" s="101"/>
      <c r="E251" s="66">
        <f t="shared" si="64"/>
        <v>0</v>
      </c>
      <c r="F251" s="59">
        <v>0</v>
      </c>
      <c r="G251" s="59">
        <v>0</v>
      </c>
      <c r="H251" s="59">
        <v>0</v>
      </c>
      <c r="I251" s="59">
        <v>0</v>
      </c>
      <c r="J251" s="59">
        <v>0</v>
      </c>
      <c r="K251" s="59">
        <v>0</v>
      </c>
      <c r="L251" s="59">
        <v>0</v>
      </c>
      <c r="M251" s="59">
        <v>0</v>
      </c>
      <c r="N251" s="59">
        <v>0</v>
      </c>
      <c r="O251" s="59">
        <v>0</v>
      </c>
      <c r="P251" s="59">
        <v>0</v>
      </c>
      <c r="Q251" s="59">
        <v>0</v>
      </c>
      <c r="S251" s="51" t="b">
        <f t="shared" si="65"/>
        <v>1</v>
      </c>
      <c r="U251" s="60" t="e">
        <v>#N/A</v>
      </c>
      <c r="V251" s="51" t="s">
        <v>106</v>
      </c>
      <c r="W251" s="60"/>
      <c r="Y251" s="60"/>
      <c r="AA251" s="60">
        <v>4</v>
      </c>
      <c r="AC251" s="60" t="e">
        <v>#N/A</v>
      </c>
      <c r="AG251" s="62" t="str">
        <f t="shared" si="66"/>
        <v/>
      </c>
    </row>
    <row r="252" spans="1:33">
      <c r="C252" s="52" t="s">
        <v>454</v>
      </c>
      <c r="D252" s="101"/>
      <c r="E252" s="66">
        <f t="shared" si="64"/>
        <v>8309919.2247395087</v>
      </c>
      <c r="F252" s="59">
        <v>702890.55374983512</v>
      </c>
      <c r="G252" s="59">
        <v>722408.61546247802</v>
      </c>
      <c r="H252" s="59">
        <v>440852.32176000002</v>
      </c>
      <c r="I252" s="59">
        <v>726069.72562189784</v>
      </c>
      <c r="J252" s="59">
        <v>726752.18029151531</v>
      </c>
      <c r="K252" s="59">
        <v>703080.24181975913</v>
      </c>
      <c r="L252" s="59">
        <v>726751.25931282202</v>
      </c>
      <c r="M252" s="59">
        <v>702739.32301743515</v>
      </c>
      <c r="N252" s="59">
        <v>726853.75646526949</v>
      </c>
      <c r="O252" s="59">
        <v>726261.76149336866</v>
      </c>
      <c r="P252" s="59">
        <v>679031.08148319903</v>
      </c>
      <c r="Q252" s="59">
        <v>726228.40426192782</v>
      </c>
      <c r="S252" s="51" t="b">
        <f t="shared" si="65"/>
        <v>1</v>
      </c>
      <c r="U252" s="60">
        <v>2</v>
      </c>
      <c r="V252" s="51" t="s">
        <v>454</v>
      </c>
      <c r="W252" s="60"/>
      <c r="Y252" s="60"/>
      <c r="AA252" s="60">
        <v>5</v>
      </c>
      <c r="AC252" s="60" t="e">
        <v>#N/A</v>
      </c>
      <c r="AG252" s="62" t="str">
        <f t="shared" si="66"/>
        <v/>
      </c>
    </row>
    <row r="253" spans="1:33">
      <c r="C253" s="52" t="s">
        <v>455</v>
      </c>
      <c r="D253" s="101"/>
      <c r="E253" s="66">
        <f t="shared" si="64"/>
        <v>0</v>
      </c>
      <c r="F253" s="59">
        <v>0</v>
      </c>
      <c r="G253" s="59">
        <v>0</v>
      </c>
      <c r="H253" s="59">
        <v>0</v>
      </c>
      <c r="I253" s="59">
        <v>0</v>
      </c>
      <c r="J253" s="59">
        <v>0</v>
      </c>
      <c r="K253" s="59">
        <v>0</v>
      </c>
      <c r="L253" s="59">
        <v>0</v>
      </c>
      <c r="M253" s="59">
        <v>0</v>
      </c>
      <c r="N253" s="59">
        <v>0</v>
      </c>
      <c r="O253" s="59">
        <v>0</v>
      </c>
      <c r="P253" s="59">
        <v>0</v>
      </c>
      <c r="Q253" s="59">
        <v>0</v>
      </c>
      <c r="S253" s="51" t="b">
        <f t="shared" si="65"/>
        <v>1</v>
      </c>
      <c r="U253" s="60" t="e">
        <v>#N/A</v>
      </c>
      <c r="V253" s="51" t="s">
        <v>455</v>
      </c>
      <c r="W253" s="60"/>
      <c r="Y253" s="60"/>
      <c r="AA253" s="60">
        <v>6</v>
      </c>
      <c r="AC253" s="60" t="e">
        <v>#N/A</v>
      </c>
      <c r="AG253" s="62" t="str">
        <f t="shared" si="66"/>
        <v/>
      </c>
    </row>
    <row r="254" spans="1:33">
      <c r="C254" s="52" t="s">
        <v>456</v>
      </c>
      <c r="D254" s="101"/>
      <c r="E254" s="66">
        <f t="shared" si="64"/>
        <v>0</v>
      </c>
      <c r="F254" s="59">
        <v>0</v>
      </c>
      <c r="G254" s="59">
        <v>0</v>
      </c>
      <c r="H254" s="59">
        <v>0</v>
      </c>
      <c r="I254" s="59">
        <v>0</v>
      </c>
      <c r="J254" s="59">
        <v>0</v>
      </c>
      <c r="K254" s="59">
        <v>0</v>
      </c>
      <c r="L254" s="59">
        <v>0</v>
      </c>
      <c r="M254" s="59">
        <v>0</v>
      </c>
      <c r="N254" s="59">
        <v>0</v>
      </c>
      <c r="O254" s="59">
        <v>0</v>
      </c>
      <c r="P254" s="59">
        <v>0</v>
      </c>
      <c r="Q254" s="59">
        <v>0</v>
      </c>
      <c r="S254" s="51" t="b">
        <f t="shared" si="65"/>
        <v>1</v>
      </c>
      <c r="U254" s="60" t="e">
        <v>#N/A</v>
      </c>
      <c r="V254" s="51" t="s">
        <v>456</v>
      </c>
      <c r="W254" s="60"/>
      <c r="Y254" s="60"/>
      <c r="AA254" s="60">
        <v>8</v>
      </c>
      <c r="AC254" s="60" t="e">
        <v>#N/A</v>
      </c>
      <c r="AD254" s="90"/>
      <c r="AE254" s="90"/>
      <c r="AF254" s="90"/>
      <c r="AG254" s="62" t="str">
        <f t="shared" si="66"/>
        <v/>
      </c>
    </row>
    <row r="255" spans="1:33">
      <c r="C255" s="52" t="s">
        <v>457</v>
      </c>
      <c r="D255" s="101"/>
      <c r="E255" s="66">
        <f t="shared" si="64"/>
        <v>0</v>
      </c>
      <c r="F255" s="59">
        <v>0</v>
      </c>
      <c r="G255" s="59">
        <v>0</v>
      </c>
      <c r="H255" s="59">
        <v>0</v>
      </c>
      <c r="I255" s="59">
        <v>0</v>
      </c>
      <c r="J255" s="59">
        <v>0</v>
      </c>
      <c r="K255" s="59">
        <v>0</v>
      </c>
      <c r="L255" s="59">
        <v>0</v>
      </c>
      <c r="M255" s="59">
        <v>0</v>
      </c>
      <c r="N255" s="59">
        <v>0</v>
      </c>
      <c r="O255" s="59">
        <v>0</v>
      </c>
      <c r="P255" s="59">
        <v>0</v>
      </c>
      <c r="Q255" s="59">
        <v>0</v>
      </c>
      <c r="S255" s="51" t="b">
        <f t="shared" si="65"/>
        <v>1</v>
      </c>
      <c r="U255" s="60" t="e">
        <v>#N/A</v>
      </c>
      <c r="V255" s="51" t="s">
        <v>457</v>
      </c>
      <c r="W255" s="60"/>
      <c r="Y255" s="60"/>
      <c r="AA255" s="60">
        <v>11</v>
      </c>
      <c r="AC255" s="60" t="e">
        <v>#N/A</v>
      </c>
      <c r="AG255" s="62" t="str">
        <f t="shared" si="66"/>
        <v/>
      </c>
    </row>
    <row r="256" spans="1:33">
      <c r="C256" s="52" t="s">
        <v>458</v>
      </c>
      <c r="D256" s="101"/>
      <c r="E256" s="66">
        <f t="shared" si="64"/>
        <v>0</v>
      </c>
      <c r="F256" s="59">
        <v>0</v>
      </c>
      <c r="G256" s="59">
        <v>0</v>
      </c>
      <c r="H256" s="59">
        <v>0</v>
      </c>
      <c r="I256" s="59">
        <v>0</v>
      </c>
      <c r="J256" s="59">
        <v>0</v>
      </c>
      <c r="K256" s="59">
        <v>0</v>
      </c>
      <c r="L256" s="59">
        <v>0</v>
      </c>
      <c r="M256" s="59">
        <v>0</v>
      </c>
      <c r="N256" s="59">
        <v>0</v>
      </c>
      <c r="O256" s="59">
        <v>0</v>
      </c>
      <c r="P256" s="59">
        <v>0</v>
      </c>
      <c r="Q256" s="59">
        <v>0</v>
      </c>
      <c r="S256" s="51" t="b">
        <f t="shared" si="65"/>
        <v>1</v>
      </c>
      <c r="U256" s="60" t="e">
        <v>#N/A</v>
      </c>
      <c r="V256" s="51" t="s">
        <v>458</v>
      </c>
      <c r="W256" s="60"/>
      <c r="Y256" s="60"/>
      <c r="AA256" s="60">
        <v>13</v>
      </c>
      <c r="AC256" s="60" t="e">
        <v>#N/A</v>
      </c>
      <c r="AG256" s="62" t="str">
        <f t="shared" si="66"/>
        <v/>
      </c>
    </row>
    <row r="257" spans="1:33">
      <c r="C257" s="52" t="s">
        <v>459</v>
      </c>
      <c r="D257" s="101"/>
      <c r="E257" s="66">
        <f t="shared" si="64"/>
        <v>0</v>
      </c>
      <c r="F257" s="59">
        <v>0</v>
      </c>
      <c r="G257" s="59">
        <v>0</v>
      </c>
      <c r="H257" s="59">
        <v>0</v>
      </c>
      <c r="I257" s="59">
        <v>0</v>
      </c>
      <c r="J257" s="59">
        <v>0</v>
      </c>
      <c r="K257" s="59">
        <v>0</v>
      </c>
      <c r="L257" s="59">
        <v>0</v>
      </c>
      <c r="M257" s="59">
        <v>0</v>
      </c>
      <c r="N257" s="59">
        <v>0</v>
      </c>
      <c r="O257" s="59">
        <v>0</v>
      </c>
      <c r="P257" s="59">
        <v>0</v>
      </c>
      <c r="Q257" s="59">
        <v>0</v>
      </c>
      <c r="S257" s="51" t="b">
        <f t="shared" si="65"/>
        <v>1</v>
      </c>
      <c r="U257" s="60" t="e">
        <v>#N/A</v>
      </c>
      <c r="V257" s="51" t="s">
        <v>459</v>
      </c>
      <c r="W257" s="60"/>
      <c r="Y257" s="60"/>
      <c r="Z257" s="63"/>
      <c r="AA257" s="60">
        <v>14</v>
      </c>
      <c r="AC257" s="60" t="e">
        <v>#N/A</v>
      </c>
      <c r="AG257" s="62" t="str">
        <f t="shared" si="66"/>
        <v/>
      </c>
    </row>
    <row r="258" spans="1:33">
      <c r="C258" s="52" t="s">
        <v>119</v>
      </c>
      <c r="D258" s="101"/>
      <c r="E258" s="66">
        <f t="shared" si="64"/>
        <v>243002616.76084644</v>
      </c>
      <c r="F258" s="59">
        <v>17442689.514431674</v>
      </c>
      <c r="G258" s="59">
        <v>16075287.3877453</v>
      </c>
      <c r="H258" s="59">
        <v>17944677.024599999</v>
      </c>
      <c r="I258" s="59">
        <v>22655068.937713839</v>
      </c>
      <c r="J258" s="59">
        <v>22284374.574507352</v>
      </c>
      <c r="K258" s="59">
        <v>21391080.166979883</v>
      </c>
      <c r="L258" s="59">
        <v>22432027.532403871</v>
      </c>
      <c r="M258" s="59">
        <v>21390827.058067493</v>
      </c>
      <c r="N258" s="59">
        <v>21592557.663992241</v>
      </c>
      <c r="O258" s="59">
        <v>20811586.585430074</v>
      </c>
      <c r="P258" s="59">
        <v>20115946.496757288</v>
      </c>
      <c r="Q258" s="59">
        <v>18866493.818217434</v>
      </c>
      <c r="S258" s="51" t="b">
        <f t="shared" si="65"/>
        <v>1</v>
      </c>
      <c r="U258" s="60">
        <v>4</v>
      </c>
      <c r="V258" s="51" t="s">
        <v>119</v>
      </c>
      <c r="W258" s="60"/>
      <c r="Y258" s="60"/>
      <c r="AA258" s="60">
        <v>15</v>
      </c>
      <c r="AC258" s="60" t="e">
        <v>#N/A</v>
      </c>
      <c r="AG258" s="62" t="str">
        <f t="shared" si="66"/>
        <v/>
      </c>
    </row>
    <row r="259" spans="1:33">
      <c r="C259" s="52" t="s">
        <v>460</v>
      </c>
      <c r="D259" s="101"/>
      <c r="E259" s="66">
        <f t="shared" si="64"/>
        <v>0</v>
      </c>
      <c r="F259" s="59">
        <v>0</v>
      </c>
      <c r="G259" s="59">
        <v>0</v>
      </c>
      <c r="H259" s="59">
        <v>0</v>
      </c>
      <c r="I259" s="59">
        <v>0</v>
      </c>
      <c r="J259" s="59">
        <v>0</v>
      </c>
      <c r="K259" s="59">
        <v>0</v>
      </c>
      <c r="L259" s="59">
        <v>0</v>
      </c>
      <c r="M259" s="59">
        <v>0</v>
      </c>
      <c r="N259" s="59">
        <v>0</v>
      </c>
      <c r="O259" s="59">
        <v>0</v>
      </c>
      <c r="P259" s="59">
        <v>0</v>
      </c>
      <c r="Q259" s="59">
        <v>0</v>
      </c>
      <c r="S259" s="51" t="b">
        <f t="shared" si="65"/>
        <v>1</v>
      </c>
      <c r="U259" s="60" t="e">
        <v>#N/A</v>
      </c>
      <c r="V259" s="51" t="s">
        <v>460</v>
      </c>
      <c r="W259" s="60"/>
      <c r="Y259" s="60"/>
      <c r="AA259" s="60">
        <v>17</v>
      </c>
      <c r="AC259" s="60" t="e">
        <v>#N/A</v>
      </c>
      <c r="AD259" s="51" t="s">
        <v>461</v>
      </c>
      <c r="AG259" s="62" t="str">
        <f t="shared" si="66"/>
        <v/>
      </c>
    </row>
    <row r="260" spans="1:33">
      <c r="D260" s="101"/>
      <c r="E260" s="66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U260" s="61"/>
      <c r="V260" s="61"/>
      <c r="W260" s="61"/>
      <c r="X260" s="64"/>
      <c r="Y260" s="64"/>
      <c r="Z260" s="64"/>
      <c r="AA260" s="64"/>
      <c r="AB260" s="64"/>
      <c r="AC260" s="64"/>
      <c r="AG260" s="62" t="str">
        <f>IF(OR(ISNUMBER(U260),ISNUMBER(W260),ISNUMBER(Y260),ISNUMBER(AA260),ISNUMBER(AC260)),"","Hide Row")</f>
        <v>Hide Row</v>
      </c>
    </row>
    <row r="261" spans="1:33">
      <c r="D261" s="101"/>
      <c r="E261" s="66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U261" s="61"/>
      <c r="V261" s="61"/>
      <c r="W261" s="61"/>
      <c r="X261" s="64"/>
      <c r="Y261" s="64"/>
      <c r="Z261" s="64"/>
      <c r="AA261" s="64"/>
      <c r="AB261" s="64"/>
      <c r="AC261" s="64"/>
      <c r="AG261" s="62" t="str">
        <f>IF(OR(ISNUMBER(U261),ISNUMBER(W261),ISNUMBER(Y261),ISNUMBER(AA261),ISNUMBER(AC261)),"","Hide Row")</f>
        <v>Hide Row</v>
      </c>
    </row>
    <row r="262" spans="1:33">
      <c r="C262" s="52" t="s">
        <v>462</v>
      </c>
      <c r="D262" s="102"/>
      <c r="E262" s="76">
        <f>SUM(F262:Q262)</f>
        <v>0</v>
      </c>
      <c r="F262" s="65">
        <v>0</v>
      </c>
      <c r="G262" s="65">
        <v>0</v>
      </c>
      <c r="H262" s="65">
        <v>0</v>
      </c>
      <c r="I262" s="65">
        <v>0</v>
      </c>
      <c r="J262" s="65">
        <v>0</v>
      </c>
      <c r="K262" s="65">
        <v>0</v>
      </c>
      <c r="L262" s="65">
        <v>0</v>
      </c>
      <c r="M262" s="65">
        <v>0</v>
      </c>
      <c r="N262" s="65">
        <v>0</v>
      </c>
      <c r="O262" s="65">
        <v>0</v>
      </c>
      <c r="P262" s="65">
        <v>0</v>
      </c>
      <c r="Q262" s="65">
        <v>0</v>
      </c>
      <c r="S262" s="51" t="b">
        <f>C584=C262</f>
        <v>1</v>
      </c>
      <c r="U262" s="60" t="e">
        <v>#N/A</v>
      </c>
      <c r="V262" s="51" t="s">
        <v>462</v>
      </c>
      <c r="W262" s="60"/>
      <c r="Y262" s="60"/>
      <c r="AA262" s="60">
        <v>18</v>
      </c>
      <c r="AC262" s="60" t="e">
        <v>#N/A</v>
      </c>
      <c r="AG262" s="62" t="str">
        <f t="shared" si="66"/>
        <v/>
      </c>
    </row>
    <row r="263" spans="1:33" s="72" customFormat="1">
      <c r="A263" s="73"/>
      <c r="C263" s="97"/>
      <c r="D263" s="100"/>
      <c r="E263" s="76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53"/>
      <c r="T263" s="54"/>
      <c r="U263" s="51"/>
      <c r="V263" s="51"/>
      <c r="W263" s="51"/>
      <c r="X263" s="51"/>
      <c r="Y263" s="51"/>
      <c r="Z263" s="51"/>
      <c r="AA263" s="51"/>
      <c r="AB263" s="51"/>
      <c r="AC263" s="54"/>
    </row>
    <row r="264" spans="1:33" s="64" customFormat="1" ht="15.75">
      <c r="A264" s="103" t="str">
        <f>"Total "&amp;A249</f>
        <v>Total Coal Fuel Burn Expense</v>
      </c>
      <c r="C264" s="58"/>
      <c r="D264" s="101"/>
      <c r="E264" s="59">
        <f>SUM(F264:Q264)</f>
        <v>251312535.98558596</v>
      </c>
      <c r="F264" s="66">
        <f t="shared" ref="F264:Q264" si="67">SUM(F250:F262)</f>
        <v>18145580.068181507</v>
      </c>
      <c r="G264" s="66">
        <f t="shared" si="67"/>
        <v>16797696.003207777</v>
      </c>
      <c r="H264" s="66">
        <f t="shared" si="67"/>
        <v>18385529.346359998</v>
      </c>
      <c r="I264" s="66">
        <f t="shared" si="67"/>
        <v>23381138.663335737</v>
      </c>
      <c r="J264" s="66">
        <f t="shared" si="67"/>
        <v>23011126.754798867</v>
      </c>
      <c r="K264" s="66">
        <f t="shared" si="67"/>
        <v>22094160.408799641</v>
      </c>
      <c r="L264" s="66">
        <f t="shared" si="67"/>
        <v>23158778.791716695</v>
      </c>
      <c r="M264" s="66">
        <f t="shared" si="67"/>
        <v>22093566.381084926</v>
      </c>
      <c r="N264" s="66">
        <f t="shared" si="67"/>
        <v>22319411.420457512</v>
      </c>
      <c r="O264" s="66">
        <f t="shared" si="67"/>
        <v>21537848.346923444</v>
      </c>
      <c r="P264" s="66">
        <f t="shared" si="67"/>
        <v>20794977.578240488</v>
      </c>
      <c r="Q264" s="66">
        <f t="shared" si="67"/>
        <v>19592722.222479362</v>
      </c>
      <c r="R264" s="53"/>
      <c r="T264" s="54"/>
    </row>
    <row r="265" spans="1:33"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</row>
    <row r="266" spans="1:33" ht="15.75">
      <c r="A266" s="56" t="s">
        <v>463</v>
      </c>
      <c r="E266" s="66"/>
      <c r="F266" s="66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U266" s="41" t="s">
        <v>450</v>
      </c>
      <c r="W266" s="41" t="s">
        <v>464</v>
      </c>
      <c r="Y266" s="41" t="s">
        <v>465</v>
      </c>
      <c r="AA266" s="41" t="s">
        <v>451</v>
      </c>
      <c r="AC266" s="41" t="s">
        <v>452</v>
      </c>
    </row>
    <row r="267" spans="1:33">
      <c r="C267" s="58" t="s">
        <v>116</v>
      </c>
      <c r="E267" s="66">
        <f t="shared" ref="E267:E275" si="68">SUM(F267:Q267)</f>
        <v>38330375.313999996</v>
      </c>
      <c r="F267" s="59">
        <v>209848.40720000002</v>
      </c>
      <c r="G267" s="59">
        <v>0</v>
      </c>
      <c r="H267" s="59">
        <v>0</v>
      </c>
      <c r="I267" s="59">
        <v>5814984.716</v>
      </c>
      <c r="J267" s="59">
        <v>7308435.7609999999</v>
      </c>
      <c r="K267" s="59">
        <v>5034135.5749999993</v>
      </c>
      <c r="L267" s="59">
        <v>3766029.2193</v>
      </c>
      <c r="M267" s="59">
        <v>2088515.2545</v>
      </c>
      <c r="N267" s="59">
        <v>4654063.1869999999</v>
      </c>
      <c r="O267" s="59">
        <v>4805214.7927000001</v>
      </c>
      <c r="P267" s="59">
        <v>3804312.9810000001</v>
      </c>
      <c r="Q267" s="59">
        <v>844835.4203</v>
      </c>
      <c r="S267" s="51" t="b">
        <f t="shared" ref="S267:S276" si="69">C589=C267</f>
        <v>1</v>
      </c>
      <c r="U267" s="60">
        <v>1</v>
      </c>
      <c r="V267" s="51" t="s">
        <v>116</v>
      </c>
      <c r="W267" s="61">
        <f t="shared" ref="W267:W275" si="70">MATCH(X267,$B$861:$B$874,0)</f>
        <v>1</v>
      </c>
      <c r="X267" s="51" t="s">
        <v>116</v>
      </c>
      <c r="Y267" s="61"/>
      <c r="AA267" s="60">
        <v>3</v>
      </c>
      <c r="AF267" s="90"/>
      <c r="AG267" s="62" t="str">
        <f t="shared" ref="AG267:AG276" si="71">IF(OR(ISNUMBER(U267),ISNUMBER(W267),ISNUMBER(Y267),ISNUMBER(AA267),ISNUMBER(AC267)),"","Hide Row")</f>
        <v/>
      </c>
    </row>
    <row r="268" spans="1:33">
      <c r="C268" s="52" t="s">
        <v>466</v>
      </c>
      <c r="D268" s="101"/>
      <c r="E268" s="66">
        <f t="shared" si="68"/>
        <v>0</v>
      </c>
      <c r="F268" s="59">
        <v>0</v>
      </c>
      <c r="G268" s="59">
        <v>0</v>
      </c>
      <c r="H268" s="59">
        <v>0</v>
      </c>
      <c r="I268" s="59">
        <v>0</v>
      </c>
      <c r="J268" s="59">
        <v>0</v>
      </c>
      <c r="K268" s="59">
        <v>0</v>
      </c>
      <c r="L268" s="59">
        <v>0</v>
      </c>
      <c r="M268" s="59">
        <v>0</v>
      </c>
      <c r="N268" s="59">
        <v>0</v>
      </c>
      <c r="O268" s="59">
        <v>0</v>
      </c>
      <c r="P268" s="59">
        <v>0</v>
      </c>
      <c r="Q268" s="59">
        <v>0</v>
      </c>
      <c r="S268" s="51" t="b">
        <f t="shared" si="69"/>
        <v>1</v>
      </c>
      <c r="U268" s="60" t="e">
        <v>#N/A</v>
      </c>
      <c r="V268" s="51" t="s">
        <v>466</v>
      </c>
      <c r="W268" s="61">
        <f t="shared" si="70"/>
        <v>2</v>
      </c>
      <c r="X268" s="51" t="s">
        <v>466</v>
      </c>
      <c r="Y268" s="61"/>
      <c r="AA268" s="60">
        <v>7</v>
      </c>
      <c r="AF268" s="90"/>
      <c r="AG268" s="62" t="str">
        <f t="shared" si="71"/>
        <v/>
      </c>
    </row>
    <row r="269" spans="1:33">
      <c r="C269" s="52" t="s">
        <v>467</v>
      </c>
      <c r="D269" s="101"/>
      <c r="E269" s="66">
        <f t="shared" si="68"/>
        <v>0</v>
      </c>
      <c r="F269" s="59">
        <v>0</v>
      </c>
      <c r="G269" s="59">
        <v>0</v>
      </c>
      <c r="H269" s="59">
        <v>0</v>
      </c>
      <c r="I269" s="59">
        <v>0</v>
      </c>
      <c r="J269" s="59">
        <v>0</v>
      </c>
      <c r="K269" s="59">
        <v>0</v>
      </c>
      <c r="L269" s="59">
        <v>0</v>
      </c>
      <c r="M269" s="59">
        <v>0</v>
      </c>
      <c r="N269" s="59">
        <v>0</v>
      </c>
      <c r="O269" s="59">
        <v>0</v>
      </c>
      <c r="P269" s="59">
        <v>0</v>
      </c>
      <c r="Q269" s="59">
        <v>0</v>
      </c>
      <c r="S269" s="51" t="b">
        <f t="shared" si="69"/>
        <v>1</v>
      </c>
      <c r="U269" s="60" t="e">
        <v>#N/A</v>
      </c>
      <c r="V269" s="51" t="s">
        <v>467</v>
      </c>
      <c r="W269" s="61">
        <f t="shared" si="70"/>
        <v>3</v>
      </c>
      <c r="X269" s="51" t="s">
        <v>468</v>
      </c>
      <c r="Y269" s="61"/>
      <c r="AA269" s="60">
        <v>9</v>
      </c>
      <c r="AF269" s="86"/>
      <c r="AG269" s="62" t="str">
        <f t="shared" si="71"/>
        <v/>
      </c>
    </row>
    <row r="270" spans="1:33">
      <c r="C270" s="52" t="s">
        <v>469</v>
      </c>
      <c r="D270" s="101"/>
      <c r="E270" s="66">
        <f t="shared" si="68"/>
        <v>0</v>
      </c>
      <c r="F270" s="59">
        <v>0</v>
      </c>
      <c r="G270" s="59">
        <v>0</v>
      </c>
      <c r="H270" s="59">
        <v>0</v>
      </c>
      <c r="I270" s="59">
        <v>0</v>
      </c>
      <c r="J270" s="59">
        <v>0</v>
      </c>
      <c r="K270" s="59">
        <v>0</v>
      </c>
      <c r="L270" s="59">
        <v>0</v>
      </c>
      <c r="M270" s="59">
        <v>0</v>
      </c>
      <c r="N270" s="59">
        <v>0</v>
      </c>
      <c r="O270" s="59">
        <v>0</v>
      </c>
      <c r="P270" s="59">
        <v>0</v>
      </c>
      <c r="Q270" s="59">
        <v>0</v>
      </c>
      <c r="S270" s="51" t="b">
        <f t="shared" si="69"/>
        <v>1</v>
      </c>
      <c r="U270" s="60" t="e">
        <v>#N/A</v>
      </c>
      <c r="V270" s="51" t="s">
        <v>469</v>
      </c>
      <c r="W270" s="61">
        <f t="shared" si="70"/>
        <v>4</v>
      </c>
      <c r="X270" s="51" t="s">
        <v>469</v>
      </c>
      <c r="Y270" s="61"/>
      <c r="AA270" s="60">
        <v>10</v>
      </c>
      <c r="AF270" s="86"/>
      <c r="AG270" s="62" t="str">
        <f t="shared" si="71"/>
        <v/>
      </c>
    </row>
    <row r="271" spans="1:33" s="64" customFormat="1">
      <c r="A271" s="71"/>
      <c r="C271" s="58" t="s">
        <v>470</v>
      </c>
      <c r="D271" s="101"/>
      <c r="E271" s="66">
        <f t="shared" si="68"/>
        <v>36912808.747186437</v>
      </c>
      <c r="F271" s="59">
        <v>2527570.3715782431</v>
      </c>
      <c r="G271" s="59">
        <v>737841.92906665022</v>
      </c>
      <c r="H271" s="59">
        <v>65578.73843931756</v>
      </c>
      <c r="I271" s="59">
        <v>3530331.1367112179</v>
      </c>
      <c r="J271" s="59">
        <v>3814622.8035176378</v>
      </c>
      <c r="K271" s="59">
        <v>3307733.0581513122</v>
      </c>
      <c r="L271" s="59">
        <v>4108084.4473372996</v>
      </c>
      <c r="M271" s="59">
        <v>3824112.293946716</v>
      </c>
      <c r="N271" s="59">
        <v>4094684.5801397213</v>
      </c>
      <c r="O271" s="59">
        <v>4037761.6372337085</v>
      </c>
      <c r="P271" s="59">
        <v>3504985.3149272278</v>
      </c>
      <c r="Q271" s="59">
        <v>3359502.4361373838</v>
      </c>
      <c r="R271" s="53"/>
      <c r="S271" s="51" t="b">
        <f t="shared" si="69"/>
        <v>1</v>
      </c>
      <c r="T271" s="54"/>
      <c r="U271" s="60">
        <v>3</v>
      </c>
      <c r="V271" s="64" t="s">
        <v>471</v>
      </c>
      <c r="W271" s="61">
        <f t="shared" si="70"/>
        <v>5</v>
      </c>
      <c r="X271" s="64" t="s">
        <v>193</v>
      </c>
      <c r="Y271" s="61">
        <f>MATCH(Z271,$B$861:$B$874,0)</f>
        <v>6</v>
      </c>
      <c r="Z271" s="64" t="s">
        <v>194</v>
      </c>
      <c r="AA271" s="60">
        <v>12</v>
      </c>
      <c r="AC271" s="61">
        <v>1</v>
      </c>
      <c r="AD271" s="64" t="s">
        <v>471</v>
      </c>
      <c r="AG271" s="62" t="str">
        <f t="shared" si="71"/>
        <v/>
      </c>
    </row>
    <row r="272" spans="1:33" s="64" customFormat="1">
      <c r="A272" s="71"/>
      <c r="C272" s="58" t="s">
        <v>472</v>
      </c>
      <c r="D272" s="101"/>
      <c r="E272" s="66">
        <f t="shared" si="68"/>
        <v>0</v>
      </c>
      <c r="F272" s="59">
        <v>0</v>
      </c>
      <c r="G272" s="59">
        <v>0</v>
      </c>
      <c r="H272" s="59">
        <v>0</v>
      </c>
      <c r="I272" s="59">
        <v>0</v>
      </c>
      <c r="J272" s="59">
        <v>0</v>
      </c>
      <c r="K272" s="59">
        <v>0</v>
      </c>
      <c r="L272" s="59">
        <v>0</v>
      </c>
      <c r="M272" s="59">
        <v>0</v>
      </c>
      <c r="N272" s="59">
        <v>0</v>
      </c>
      <c r="O272" s="59">
        <v>0</v>
      </c>
      <c r="P272" s="59">
        <v>0</v>
      </c>
      <c r="Q272" s="59">
        <v>0</v>
      </c>
      <c r="R272" s="53"/>
      <c r="S272" s="51" t="b">
        <f t="shared" si="69"/>
        <v>1</v>
      </c>
      <c r="T272" s="54"/>
      <c r="U272" s="60" t="e">
        <v>#N/A</v>
      </c>
      <c r="V272" s="51" t="s">
        <v>472</v>
      </c>
      <c r="W272" s="61">
        <f t="shared" si="70"/>
        <v>7</v>
      </c>
      <c r="X272" s="51" t="s">
        <v>472</v>
      </c>
      <c r="Y272" s="61"/>
      <c r="Z272" s="51"/>
      <c r="AA272" s="60">
        <v>16</v>
      </c>
      <c r="AB272" s="51"/>
      <c r="AC272" s="51"/>
      <c r="AD272" s="51"/>
      <c r="AE272" s="51"/>
      <c r="AF272" s="51"/>
      <c r="AG272" s="62" t="str">
        <f t="shared" si="71"/>
        <v/>
      </c>
    </row>
    <row r="273" spans="1:33" s="64" customFormat="1">
      <c r="A273" s="71"/>
      <c r="C273" s="58" t="s">
        <v>644</v>
      </c>
      <c r="D273" s="101"/>
      <c r="E273" s="66">
        <f t="shared" si="68"/>
        <v>0</v>
      </c>
      <c r="F273" s="59">
        <v>0</v>
      </c>
      <c r="G273" s="59">
        <v>0</v>
      </c>
      <c r="H273" s="59">
        <v>0</v>
      </c>
      <c r="I273" s="59">
        <v>0</v>
      </c>
      <c r="J273" s="59">
        <v>0</v>
      </c>
      <c r="K273" s="59">
        <v>0</v>
      </c>
      <c r="L273" s="59">
        <v>0</v>
      </c>
      <c r="M273" s="59">
        <v>0</v>
      </c>
      <c r="N273" s="59">
        <v>0</v>
      </c>
      <c r="O273" s="59">
        <v>0</v>
      </c>
      <c r="P273" s="59">
        <v>0</v>
      </c>
      <c r="Q273" s="59">
        <v>0</v>
      </c>
      <c r="R273" s="53"/>
      <c r="S273" s="51" t="b">
        <f t="shared" si="69"/>
        <v>1</v>
      </c>
      <c r="T273" s="54"/>
      <c r="U273" s="60" t="e">
        <v>#N/A</v>
      </c>
      <c r="V273" s="58" t="s">
        <v>644</v>
      </c>
      <c r="W273" s="61">
        <f t="shared" si="70"/>
        <v>8</v>
      </c>
      <c r="X273" s="58" t="str">
        <f>V273</f>
        <v>Lake Side II</v>
      </c>
      <c r="Y273" s="61"/>
      <c r="Z273" s="51"/>
      <c r="AA273" s="60" t="e">
        <v>#N/A</v>
      </c>
      <c r="AB273" s="51"/>
      <c r="AC273" s="51"/>
      <c r="AD273" s="51"/>
      <c r="AE273" s="51"/>
      <c r="AF273" s="51"/>
      <c r="AG273" s="62" t="str">
        <f t="shared" si="71"/>
        <v/>
      </c>
    </row>
    <row r="274" spans="1:33">
      <c r="C274" s="52" t="s">
        <v>473</v>
      </c>
      <c r="D274" s="101"/>
      <c r="E274" s="66">
        <f t="shared" si="68"/>
        <v>0</v>
      </c>
      <c r="F274" s="59">
        <v>0</v>
      </c>
      <c r="G274" s="59">
        <v>0</v>
      </c>
      <c r="H274" s="59">
        <v>0</v>
      </c>
      <c r="I274" s="59">
        <v>0</v>
      </c>
      <c r="J274" s="59">
        <v>0</v>
      </c>
      <c r="K274" s="59">
        <v>0</v>
      </c>
      <c r="L274" s="59">
        <v>0</v>
      </c>
      <c r="M274" s="59">
        <v>0</v>
      </c>
      <c r="N274" s="59">
        <v>0</v>
      </c>
      <c r="O274" s="59">
        <v>0</v>
      </c>
      <c r="P274" s="59">
        <v>0</v>
      </c>
      <c r="Q274" s="59">
        <v>0</v>
      </c>
      <c r="S274" s="51" t="b">
        <f t="shared" si="69"/>
        <v>1</v>
      </c>
      <c r="U274" s="60" t="e">
        <v>#N/A</v>
      </c>
      <c r="V274" s="51" t="s">
        <v>473</v>
      </c>
      <c r="W274" s="61" t="e">
        <f t="shared" si="70"/>
        <v>#N/A</v>
      </c>
      <c r="Y274" s="61"/>
      <c r="AA274" s="60" t="e">
        <v>#N/A</v>
      </c>
      <c r="AG274" s="62" t="str">
        <f t="shared" si="71"/>
        <v>Hide Row</v>
      </c>
    </row>
    <row r="275" spans="1:33">
      <c r="C275" s="52" t="s">
        <v>474</v>
      </c>
      <c r="D275" s="101"/>
      <c r="E275" s="66">
        <f t="shared" si="68"/>
        <v>0</v>
      </c>
      <c r="F275" s="59">
        <v>0</v>
      </c>
      <c r="G275" s="59">
        <v>0</v>
      </c>
      <c r="H275" s="59">
        <v>0</v>
      </c>
      <c r="I275" s="59">
        <v>0</v>
      </c>
      <c r="J275" s="59">
        <v>0</v>
      </c>
      <c r="K275" s="59">
        <v>0</v>
      </c>
      <c r="L275" s="59">
        <v>0</v>
      </c>
      <c r="M275" s="59">
        <v>0</v>
      </c>
      <c r="N275" s="59">
        <v>0</v>
      </c>
      <c r="O275" s="59">
        <v>0</v>
      </c>
      <c r="P275" s="59">
        <v>0</v>
      </c>
      <c r="Q275" s="59">
        <v>0</v>
      </c>
      <c r="S275" s="51" t="b">
        <f t="shared" si="69"/>
        <v>1</v>
      </c>
      <c r="U275" s="60" t="e">
        <v>#N/A</v>
      </c>
      <c r="V275" s="51" t="s">
        <v>474</v>
      </c>
      <c r="W275" s="61">
        <f t="shared" si="70"/>
        <v>9</v>
      </c>
      <c r="X275" s="58" t="str">
        <f>V275</f>
        <v>Naughton - Gas</v>
      </c>
      <c r="Y275" s="61"/>
      <c r="AA275" s="60" t="e">
        <v>#N/A</v>
      </c>
      <c r="AG275" s="62" t="str">
        <f t="shared" si="71"/>
        <v/>
      </c>
    </row>
    <row r="276" spans="1:33" hidden="1">
      <c r="C276" s="52" t="s">
        <v>475</v>
      </c>
      <c r="D276" s="102"/>
      <c r="E276" s="76">
        <f>SUM(F276:Q276)</f>
        <v>0</v>
      </c>
      <c r="F276" s="65">
        <v>0</v>
      </c>
      <c r="G276" s="65">
        <v>0</v>
      </c>
      <c r="H276" s="65">
        <v>0</v>
      </c>
      <c r="I276" s="65">
        <v>0</v>
      </c>
      <c r="J276" s="65">
        <v>0</v>
      </c>
      <c r="K276" s="65">
        <v>0</v>
      </c>
      <c r="L276" s="65">
        <v>0</v>
      </c>
      <c r="M276" s="65">
        <v>0</v>
      </c>
      <c r="N276" s="65">
        <v>0</v>
      </c>
      <c r="O276" s="65">
        <v>0</v>
      </c>
      <c r="P276" s="65">
        <v>0</v>
      </c>
      <c r="Q276" s="65">
        <v>0</v>
      </c>
      <c r="S276" s="51" t="b">
        <f t="shared" si="69"/>
        <v>1</v>
      </c>
      <c r="U276" s="60" t="e">
        <v>#N/A</v>
      </c>
      <c r="W276" s="61" t="e">
        <f>MATCH(X276,$B$861:$B$868,0)+IF(AND(ISERROR(FIND("West Valley",$C276)),ISERROR(FIND("Gadsby",$C276))),2,0)</f>
        <v>#N/A</v>
      </c>
      <c r="AG276" s="62" t="str">
        <f t="shared" si="71"/>
        <v>Hide Row</v>
      </c>
    </row>
    <row r="277" spans="1:33">
      <c r="D277" s="102"/>
      <c r="E277" s="76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AG277" s="64"/>
    </row>
    <row r="278" spans="1:33">
      <c r="B278" s="52" t="s">
        <v>476</v>
      </c>
      <c r="D278" s="104"/>
      <c r="E278" s="59">
        <f>SUM(F278:Q278)</f>
        <v>75243184.061186433</v>
      </c>
      <c r="F278" s="66">
        <f t="shared" ref="F278:Q278" si="72">SUM(F267:F276)</f>
        <v>2737418.7787782429</v>
      </c>
      <c r="G278" s="66">
        <f t="shared" si="72"/>
        <v>737841.92906665022</v>
      </c>
      <c r="H278" s="66">
        <f t="shared" si="72"/>
        <v>65578.73843931756</v>
      </c>
      <c r="I278" s="66">
        <f t="shared" si="72"/>
        <v>9345315.8527112175</v>
      </c>
      <c r="J278" s="66">
        <f t="shared" si="72"/>
        <v>11123058.564517638</v>
      </c>
      <c r="K278" s="66">
        <f t="shared" si="72"/>
        <v>8341868.6331513114</v>
      </c>
      <c r="L278" s="66">
        <f t="shared" si="72"/>
        <v>7874113.6666372996</v>
      </c>
      <c r="M278" s="66">
        <f t="shared" si="72"/>
        <v>5912627.5484467158</v>
      </c>
      <c r="N278" s="66">
        <f t="shared" si="72"/>
        <v>8748747.7671397217</v>
      </c>
      <c r="O278" s="66">
        <f t="shared" si="72"/>
        <v>8842976.4299337082</v>
      </c>
      <c r="P278" s="66">
        <f t="shared" si="72"/>
        <v>7309298.2959272284</v>
      </c>
      <c r="Q278" s="66">
        <f t="shared" si="72"/>
        <v>4204337.8564373842</v>
      </c>
      <c r="AG278" s="64"/>
    </row>
    <row r="279" spans="1:33">
      <c r="B279" s="52"/>
      <c r="D279" s="104"/>
      <c r="E279" s="76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AG279" s="64"/>
    </row>
    <row r="280" spans="1:33">
      <c r="C280" s="58" t="s">
        <v>477</v>
      </c>
      <c r="D280" s="104"/>
      <c r="E280" s="66">
        <f>SUM(F280:Q280)</f>
        <v>0</v>
      </c>
      <c r="F280" s="59">
        <v>0</v>
      </c>
      <c r="G280" s="59">
        <v>0</v>
      </c>
      <c r="H280" s="59">
        <v>0</v>
      </c>
      <c r="I280" s="59">
        <v>0</v>
      </c>
      <c r="J280" s="59">
        <v>0</v>
      </c>
      <c r="K280" s="59">
        <v>0</v>
      </c>
      <c r="L280" s="59">
        <v>0</v>
      </c>
      <c r="M280" s="59">
        <v>0</v>
      </c>
      <c r="N280" s="59">
        <v>0</v>
      </c>
      <c r="O280" s="59">
        <v>0</v>
      </c>
      <c r="P280" s="59">
        <v>0</v>
      </c>
      <c r="Q280" s="59">
        <v>0</v>
      </c>
      <c r="U280" s="60">
        <v>10</v>
      </c>
      <c r="V280" s="58" t="s">
        <v>640</v>
      </c>
      <c r="W280" s="60" t="e">
        <v>#N/A</v>
      </c>
      <c r="X280" s="58" t="s">
        <v>641</v>
      </c>
      <c r="Y280" s="60">
        <v>11</v>
      </c>
      <c r="Z280" s="58" t="s">
        <v>478</v>
      </c>
      <c r="AA280" s="60" t="e">
        <v>#N/A</v>
      </c>
      <c r="AB280" s="58" t="s">
        <v>479</v>
      </c>
      <c r="AD280" s="52"/>
      <c r="AE280" s="52"/>
      <c r="AF280" s="52"/>
      <c r="AG280" s="62" t="str">
        <f t="shared" ref="AG280:AG286" si="73">IF(OR(ISNUMBER(U280),ISNUMBER(W280),ISNUMBER(Y280),ISNUMBER(AA280),ISNUMBER(AC280)),"","Hide Row")</f>
        <v/>
      </c>
    </row>
    <row r="281" spans="1:33">
      <c r="C281" s="58" t="s">
        <v>480</v>
      </c>
      <c r="D281" s="104"/>
      <c r="E281" s="66">
        <f>SUM(F281:Q281)</f>
        <v>-385200</v>
      </c>
      <c r="F281" s="59">
        <v>0</v>
      </c>
      <c r="G281" s="59">
        <v>0</v>
      </c>
      <c r="H281" s="59">
        <v>0</v>
      </c>
      <c r="I281" s="59">
        <v>0</v>
      </c>
      <c r="J281" s="59">
        <v>0</v>
      </c>
      <c r="K281" s="59">
        <v>0</v>
      </c>
      <c r="L281" s="59">
        <v>0</v>
      </c>
      <c r="M281" s="59">
        <v>-62550</v>
      </c>
      <c r="N281" s="59">
        <v>-113925</v>
      </c>
      <c r="O281" s="59">
        <v>-98735</v>
      </c>
      <c r="P281" s="59">
        <v>-59305</v>
      </c>
      <c r="Q281" s="59">
        <v>-50685</v>
      </c>
      <c r="U281" s="60">
        <v>12</v>
      </c>
      <c r="V281" s="58" t="s">
        <v>642</v>
      </c>
      <c r="W281" s="60" t="e">
        <v>#N/A</v>
      </c>
      <c r="X281" s="58" t="s">
        <v>643</v>
      </c>
      <c r="Y281" s="60">
        <v>13</v>
      </c>
      <c r="Z281" s="58" t="s">
        <v>481</v>
      </c>
      <c r="AA281" s="60" t="e">
        <v>#N/A</v>
      </c>
      <c r="AB281" s="58" t="s">
        <v>482</v>
      </c>
      <c r="AD281" s="52"/>
      <c r="AE281" s="52"/>
      <c r="AF281" s="52"/>
      <c r="AG281" s="62" t="str">
        <f t="shared" si="73"/>
        <v/>
      </c>
    </row>
    <row r="282" spans="1:33">
      <c r="C282" s="58" t="s">
        <v>483</v>
      </c>
      <c r="D282" s="104"/>
      <c r="E282" s="66">
        <f>SUM(F282:Q282)</f>
        <v>0</v>
      </c>
      <c r="F282" s="59">
        <v>0</v>
      </c>
      <c r="G282" s="59">
        <v>0</v>
      </c>
      <c r="H282" s="59">
        <v>0</v>
      </c>
      <c r="I282" s="59">
        <v>0</v>
      </c>
      <c r="J282" s="59">
        <v>0</v>
      </c>
      <c r="K282" s="59">
        <v>0</v>
      </c>
      <c r="L282" s="59">
        <v>0</v>
      </c>
      <c r="M282" s="59">
        <v>0</v>
      </c>
      <c r="N282" s="59">
        <v>0</v>
      </c>
      <c r="O282" s="59">
        <v>0</v>
      </c>
      <c r="P282" s="59">
        <v>0</v>
      </c>
      <c r="Q282" s="59">
        <v>0</v>
      </c>
      <c r="U282" s="60" t="e">
        <v>#N/A</v>
      </c>
      <c r="V282" s="63" t="s">
        <v>483</v>
      </c>
      <c r="W282" s="60"/>
      <c r="Y282" s="60"/>
      <c r="AA282" s="60"/>
      <c r="AD282" s="52"/>
      <c r="AE282" s="52"/>
      <c r="AF282" s="52"/>
      <c r="AG282" s="62" t="str">
        <f t="shared" si="73"/>
        <v>Hide Row</v>
      </c>
    </row>
    <row r="283" spans="1:33">
      <c r="C283" s="58" t="s">
        <v>484</v>
      </c>
      <c r="D283" s="104"/>
      <c r="E283" s="66">
        <f>SUM(F283:Q283)</f>
        <v>17513624.400000002</v>
      </c>
      <c r="F283" s="59">
        <v>1440155.03</v>
      </c>
      <c r="G283" s="59">
        <v>1480345.72</v>
      </c>
      <c r="H283" s="59">
        <v>1440155.03</v>
      </c>
      <c r="I283" s="59">
        <v>1480345.72</v>
      </c>
      <c r="J283" s="59">
        <v>1480345.72</v>
      </c>
      <c r="K283" s="59">
        <v>1440155.03</v>
      </c>
      <c r="L283" s="59">
        <v>1480345.72</v>
      </c>
      <c r="M283" s="59">
        <v>1440155.03</v>
      </c>
      <c r="N283" s="59">
        <v>1480345.72</v>
      </c>
      <c r="O283" s="59">
        <v>1480345.72</v>
      </c>
      <c r="P283" s="59">
        <v>1390584.24</v>
      </c>
      <c r="Q283" s="59">
        <v>1480345.72</v>
      </c>
      <c r="U283" s="60" t="e">
        <v>#N/A</v>
      </c>
      <c r="V283" s="63" t="s">
        <v>485</v>
      </c>
      <c r="W283" s="60" t="e">
        <v>#N/A</v>
      </c>
      <c r="X283" s="51" t="s">
        <v>486</v>
      </c>
      <c r="Y283" s="60" t="e">
        <v>#N/A</v>
      </c>
      <c r="Z283" s="51" t="s">
        <v>484</v>
      </c>
      <c r="AA283" s="60" t="e">
        <v>#N/A</v>
      </c>
      <c r="AB283" s="51" t="s">
        <v>487</v>
      </c>
      <c r="AC283" s="51" t="e">
        <v>#N/A</v>
      </c>
      <c r="AD283" s="52" t="s">
        <v>488</v>
      </c>
      <c r="AE283" s="52"/>
      <c r="AF283" s="52"/>
      <c r="AG283" s="62" t="str">
        <f t="shared" si="73"/>
        <v>Hide Row</v>
      </c>
    </row>
    <row r="284" spans="1:33" hidden="1">
      <c r="C284" s="58"/>
      <c r="D284" s="104"/>
      <c r="E284" s="66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U284" s="60"/>
      <c r="V284" s="63"/>
      <c r="W284" s="60"/>
      <c r="Y284" s="60"/>
      <c r="AA284" s="60"/>
      <c r="AD284" s="52"/>
      <c r="AE284" s="52"/>
      <c r="AF284" s="52"/>
      <c r="AG284" s="62" t="str">
        <f t="shared" si="73"/>
        <v>Hide Row</v>
      </c>
    </row>
    <row r="285" spans="1:33" hidden="1">
      <c r="C285" s="58"/>
      <c r="D285" s="104"/>
      <c r="E285" s="66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U285" s="60"/>
      <c r="V285" s="63"/>
      <c r="W285" s="60"/>
      <c r="Y285" s="60"/>
      <c r="AA285" s="60"/>
      <c r="AD285" s="52"/>
      <c r="AE285" s="52"/>
      <c r="AF285" s="52"/>
      <c r="AG285" s="62" t="str">
        <f t="shared" si="73"/>
        <v>Hide Row</v>
      </c>
    </row>
    <row r="286" spans="1:33">
      <c r="C286" s="58"/>
      <c r="D286" s="104"/>
      <c r="E286" s="76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U286" s="60">
        <v>30</v>
      </c>
      <c r="V286" s="63" t="s">
        <v>489</v>
      </c>
      <c r="W286" s="60">
        <v>31</v>
      </c>
      <c r="X286" s="63" t="s">
        <v>490</v>
      </c>
      <c r="Y286" s="60">
        <v>32</v>
      </c>
      <c r="Z286" s="64" t="s">
        <v>491</v>
      </c>
      <c r="AA286" s="60" t="e">
        <v>#N/A</v>
      </c>
      <c r="AB286" s="51" t="s">
        <v>492</v>
      </c>
      <c r="AC286" s="60"/>
      <c r="AD286" s="63"/>
      <c r="AE286" s="52"/>
      <c r="AF286" s="52"/>
      <c r="AG286" s="62" t="str">
        <f t="shared" si="73"/>
        <v/>
      </c>
    </row>
    <row r="287" spans="1:33" s="72" customFormat="1">
      <c r="A287" s="73"/>
      <c r="C287" s="97"/>
      <c r="D287" s="100"/>
      <c r="E287" s="76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53"/>
      <c r="T287" s="54"/>
      <c r="Z287" s="63"/>
      <c r="AA287" s="63"/>
      <c r="AB287" s="63"/>
      <c r="AC287" s="63"/>
      <c r="AD287" s="63"/>
    </row>
    <row r="288" spans="1:33" s="64" customFormat="1" ht="15.75">
      <c r="A288" s="103" t="str">
        <f>"Total "&amp;A266</f>
        <v>Total Gas Fuel Burn Expense</v>
      </c>
      <c r="B288" s="58"/>
      <c r="C288" s="58"/>
      <c r="D288" s="58"/>
      <c r="E288" s="59">
        <f>SUM(F288:Q288)</f>
        <v>92371608.461186439</v>
      </c>
      <c r="F288" s="66">
        <f t="shared" ref="F288:Q288" si="74">SUM(F278:F286)</f>
        <v>4177573.8087782431</v>
      </c>
      <c r="G288" s="66">
        <f t="shared" si="74"/>
        <v>2218187.6490666503</v>
      </c>
      <c r="H288" s="66">
        <f t="shared" si="74"/>
        <v>1505733.7684393176</v>
      </c>
      <c r="I288" s="66">
        <f t="shared" si="74"/>
        <v>10825661.572711218</v>
      </c>
      <c r="J288" s="66">
        <f t="shared" si="74"/>
        <v>12603404.284517638</v>
      </c>
      <c r="K288" s="66">
        <f t="shared" si="74"/>
        <v>9782023.6631513108</v>
      </c>
      <c r="L288" s="66">
        <f t="shared" si="74"/>
        <v>9354459.3866373003</v>
      </c>
      <c r="M288" s="66">
        <f t="shared" si="74"/>
        <v>7290232.5784467161</v>
      </c>
      <c r="N288" s="66">
        <f t="shared" si="74"/>
        <v>10115168.487139722</v>
      </c>
      <c r="O288" s="66">
        <f t="shared" si="74"/>
        <v>10224587.149933709</v>
      </c>
      <c r="P288" s="66">
        <f t="shared" si="74"/>
        <v>8640577.5359272286</v>
      </c>
      <c r="Q288" s="66">
        <f t="shared" si="74"/>
        <v>5633998.5764373839</v>
      </c>
      <c r="R288" s="53"/>
      <c r="T288" s="54"/>
    </row>
    <row r="289" spans="1:33" s="64" customFormat="1">
      <c r="A289" s="71"/>
      <c r="C289" s="58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53"/>
      <c r="T289" s="54"/>
    </row>
    <row r="290" spans="1:33" s="64" customFormat="1" ht="15.75">
      <c r="A290" s="103" t="s">
        <v>493</v>
      </c>
      <c r="C290" s="58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53"/>
      <c r="T290" s="54"/>
    </row>
    <row r="291" spans="1:33">
      <c r="C291" s="52" t="s">
        <v>494</v>
      </c>
      <c r="E291" s="66">
        <f t="shared" ref="E291:E304" si="75">SUM(F291:Q291)</f>
        <v>0</v>
      </c>
      <c r="F291" s="59">
        <v>0</v>
      </c>
      <c r="G291" s="59">
        <v>0</v>
      </c>
      <c r="H291" s="59">
        <v>0</v>
      </c>
      <c r="I291" s="59">
        <v>0</v>
      </c>
      <c r="J291" s="59">
        <v>0</v>
      </c>
      <c r="K291" s="59">
        <v>0</v>
      </c>
      <c r="L291" s="59">
        <v>0</v>
      </c>
      <c r="M291" s="59">
        <v>0</v>
      </c>
      <c r="N291" s="59">
        <v>0</v>
      </c>
      <c r="O291" s="59">
        <v>0</v>
      </c>
      <c r="P291" s="59">
        <v>0</v>
      </c>
      <c r="Q291" s="59">
        <v>0</v>
      </c>
      <c r="S291" s="51" t="b">
        <f>C609=C291</f>
        <v>1</v>
      </c>
      <c r="U291" s="60" t="e">
        <v>#N/A</v>
      </c>
      <c r="V291" s="51" t="s">
        <v>494</v>
      </c>
      <c r="W291" s="60"/>
      <c r="Y291" s="60"/>
      <c r="AA291" s="60"/>
      <c r="AC291" s="60"/>
      <c r="AG291" s="62" t="str">
        <f>IF(OR(ISNUMBER(U291),ISNUMBER(W291),ISNUMBER(Y291),ISNUMBER(AA291),ISNUMBER(AC291)),"","Hide Row")</f>
        <v>Hide Row</v>
      </c>
    </row>
    <row r="292" spans="1:33" hidden="1">
      <c r="C292" s="52" t="s">
        <v>495</v>
      </c>
      <c r="E292" s="66">
        <f>SUM(F292:Q292)</f>
        <v>0</v>
      </c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S292" s="51" t="b">
        <f t="shared" ref="S292:S302" si="76">C614=C292</f>
        <v>1</v>
      </c>
      <c r="U292" s="60" t="e">
        <v>#N/A</v>
      </c>
      <c r="V292" s="51" t="s">
        <v>496</v>
      </c>
      <c r="W292" s="60"/>
      <c r="Y292" s="60"/>
      <c r="AA292" s="60"/>
      <c r="AC292" s="60"/>
      <c r="AG292" s="105" t="s">
        <v>497</v>
      </c>
    </row>
    <row r="293" spans="1:33" hidden="1">
      <c r="C293" s="58" t="s">
        <v>498</v>
      </c>
      <c r="E293" s="66">
        <f t="shared" si="75"/>
        <v>0</v>
      </c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S293" s="51" t="b">
        <f t="shared" si="76"/>
        <v>1</v>
      </c>
      <c r="U293" s="60" t="e">
        <v>#N/A</v>
      </c>
      <c r="V293" s="51" t="s">
        <v>499</v>
      </c>
      <c r="W293" s="60"/>
      <c r="Y293" s="60"/>
      <c r="AA293" s="60"/>
      <c r="AC293" s="60"/>
      <c r="AG293" s="105" t="s">
        <v>497</v>
      </c>
    </row>
    <row r="294" spans="1:33" hidden="1">
      <c r="C294" s="52" t="s">
        <v>500</v>
      </c>
      <c r="E294" s="66">
        <f t="shared" si="75"/>
        <v>0</v>
      </c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S294" s="51" t="b">
        <f t="shared" si="76"/>
        <v>1</v>
      </c>
      <c r="U294" s="60" t="e">
        <v>#N/A</v>
      </c>
      <c r="V294" s="51" t="s">
        <v>501</v>
      </c>
      <c r="W294" s="60"/>
      <c r="Y294" s="60"/>
      <c r="AA294" s="60"/>
      <c r="AC294" s="60"/>
      <c r="AG294" s="105" t="s">
        <v>497</v>
      </c>
    </row>
    <row r="295" spans="1:33" hidden="1">
      <c r="C295" s="52" t="s">
        <v>502</v>
      </c>
      <c r="E295" s="66">
        <f t="shared" si="75"/>
        <v>0</v>
      </c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S295" s="51" t="b">
        <f t="shared" si="76"/>
        <v>1</v>
      </c>
      <c r="U295" s="60" t="e">
        <v>#N/A</v>
      </c>
      <c r="V295" s="51" t="s">
        <v>503</v>
      </c>
      <c r="W295" s="60"/>
      <c r="Y295" s="60"/>
      <c r="AA295" s="60"/>
      <c r="AC295" s="60"/>
      <c r="AG295" s="105" t="s">
        <v>497</v>
      </c>
    </row>
    <row r="296" spans="1:33" hidden="1">
      <c r="C296" s="52" t="s">
        <v>504</v>
      </c>
      <c r="E296" s="66">
        <f t="shared" si="75"/>
        <v>0</v>
      </c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S296" s="51" t="b">
        <f t="shared" si="76"/>
        <v>1</v>
      </c>
      <c r="U296" s="60">
        <v>14</v>
      </c>
      <c r="V296" s="51" t="s">
        <v>176</v>
      </c>
      <c r="W296" s="60"/>
      <c r="Y296" s="60"/>
      <c r="AA296" s="60"/>
      <c r="AC296" s="60"/>
      <c r="AG296" s="105" t="s">
        <v>497</v>
      </c>
    </row>
    <row r="297" spans="1:33" hidden="1">
      <c r="C297" s="52" t="s">
        <v>505</v>
      </c>
      <c r="E297" s="66">
        <f t="shared" si="75"/>
        <v>0</v>
      </c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S297" s="51" t="b">
        <f t="shared" si="76"/>
        <v>1</v>
      </c>
      <c r="U297" s="60" t="e">
        <v>#N/A</v>
      </c>
      <c r="V297" s="51" t="s">
        <v>506</v>
      </c>
      <c r="W297" s="60"/>
      <c r="Y297" s="60"/>
      <c r="AA297" s="60"/>
      <c r="AC297" s="60"/>
      <c r="AG297" s="105" t="s">
        <v>497</v>
      </c>
    </row>
    <row r="298" spans="1:33" hidden="1">
      <c r="C298" s="52" t="s">
        <v>507</v>
      </c>
      <c r="E298" s="66">
        <f t="shared" si="75"/>
        <v>0</v>
      </c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S298" s="51" t="b">
        <f t="shared" si="76"/>
        <v>1</v>
      </c>
      <c r="U298" s="60">
        <v>19</v>
      </c>
      <c r="V298" s="51" t="s">
        <v>175</v>
      </c>
      <c r="W298" s="60"/>
      <c r="Y298" s="60"/>
      <c r="AA298" s="60"/>
      <c r="AC298" s="60"/>
      <c r="AG298" s="105" t="s">
        <v>497</v>
      </c>
    </row>
    <row r="299" spans="1:33" hidden="1">
      <c r="C299" s="52" t="s">
        <v>508</v>
      </c>
      <c r="E299" s="66">
        <f t="shared" si="75"/>
        <v>0</v>
      </c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S299" s="51" t="b">
        <f t="shared" si="76"/>
        <v>1</v>
      </c>
      <c r="U299" s="60">
        <v>25</v>
      </c>
      <c r="V299" s="51" t="s">
        <v>509</v>
      </c>
      <c r="W299" s="60" t="e">
        <v>#N/A</v>
      </c>
      <c r="X299" s="51" t="s">
        <v>510</v>
      </c>
      <c r="Y299" s="60"/>
      <c r="AA299" s="60"/>
      <c r="AC299" s="60"/>
      <c r="AG299" s="105" t="s">
        <v>497</v>
      </c>
    </row>
    <row r="300" spans="1:33" hidden="1">
      <c r="C300" s="52" t="s">
        <v>511</v>
      </c>
      <c r="E300" s="66">
        <f t="shared" si="75"/>
        <v>0</v>
      </c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S300" s="51" t="b">
        <f t="shared" si="76"/>
        <v>1</v>
      </c>
      <c r="U300" s="60">
        <v>26</v>
      </c>
      <c r="V300" s="51" t="s">
        <v>512</v>
      </c>
      <c r="W300" s="60"/>
      <c r="Y300" s="60"/>
      <c r="AA300" s="60"/>
      <c r="AC300" s="60"/>
      <c r="AG300" s="105" t="s">
        <v>497</v>
      </c>
    </row>
    <row r="301" spans="1:33" hidden="1">
      <c r="C301" s="52" t="s">
        <v>513</v>
      </c>
      <c r="E301" s="66">
        <f t="shared" si="75"/>
        <v>0</v>
      </c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S301" s="51" t="b">
        <f t="shared" si="76"/>
        <v>1</v>
      </c>
      <c r="U301" s="60" t="e">
        <v>#N/A</v>
      </c>
      <c r="V301" s="51" t="s">
        <v>514</v>
      </c>
      <c r="W301" s="60"/>
      <c r="Y301" s="60"/>
      <c r="AA301" s="60"/>
      <c r="AC301" s="60"/>
      <c r="AG301" s="105" t="s">
        <v>497</v>
      </c>
    </row>
    <row r="302" spans="1:33" hidden="1">
      <c r="C302" s="52" t="s">
        <v>515</v>
      </c>
      <c r="E302" s="66">
        <f t="shared" si="75"/>
        <v>0</v>
      </c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S302" s="51" t="b">
        <f t="shared" si="76"/>
        <v>1</v>
      </c>
      <c r="U302" s="60" t="e">
        <v>#N/A</v>
      </c>
      <c r="V302" s="51" t="s">
        <v>516</v>
      </c>
      <c r="W302" s="60"/>
      <c r="Y302" s="60"/>
      <c r="AA302" s="60"/>
      <c r="AC302" s="60"/>
      <c r="AG302" s="105" t="s">
        <v>497</v>
      </c>
    </row>
    <row r="303" spans="1:33" hidden="1">
      <c r="C303" s="52" t="s">
        <v>517</v>
      </c>
      <c r="E303" s="66">
        <f t="shared" si="75"/>
        <v>0</v>
      </c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S303" s="51" t="b">
        <f>C629=C303</f>
        <v>1</v>
      </c>
      <c r="U303" s="60" t="e">
        <v>#N/A</v>
      </c>
      <c r="V303" s="51" t="s">
        <v>518</v>
      </c>
      <c r="W303" s="60"/>
      <c r="Y303" s="60"/>
      <c r="AA303" s="60"/>
      <c r="AC303" s="60"/>
      <c r="AG303" s="105" t="s">
        <v>497</v>
      </c>
    </row>
    <row r="304" spans="1:33" hidden="1">
      <c r="C304" s="52" t="s">
        <v>519</v>
      </c>
      <c r="E304" s="66">
        <f t="shared" si="75"/>
        <v>0</v>
      </c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S304" s="51" t="b">
        <f>C630=C304</f>
        <v>1</v>
      </c>
      <c r="U304" s="60" t="e">
        <v>#N/A</v>
      </c>
      <c r="V304" s="51" t="s">
        <v>520</v>
      </c>
      <c r="W304" s="60"/>
      <c r="Y304" s="60"/>
      <c r="AA304" s="60"/>
      <c r="AC304" s="60"/>
      <c r="AG304" s="105" t="s">
        <v>497</v>
      </c>
    </row>
    <row r="305" spans="1:33" hidden="1">
      <c r="E305" s="66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U305" s="60"/>
      <c r="W305" s="60"/>
      <c r="Y305" s="60"/>
      <c r="AA305" s="60"/>
      <c r="AC305" s="60"/>
      <c r="AG305" s="105" t="s">
        <v>497</v>
      </c>
    </row>
    <row r="306" spans="1:33" hidden="1">
      <c r="E306" s="66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U306" s="60"/>
      <c r="W306" s="60"/>
      <c r="Y306" s="60"/>
      <c r="AA306" s="60"/>
      <c r="AC306" s="60"/>
      <c r="AG306" s="105" t="s">
        <v>497</v>
      </c>
    </row>
    <row r="307" spans="1:33" hidden="1">
      <c r="E307" s="66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U307" s="60"/>
      <c r="W307" s="60"/>
      <c r="Y307" s="60"/>
      <c r="AA307" s="60"/>
      <c r="AC307" s="60"/>
      <c r="AG307" s="105" t="s">
        <v>497</v>
      </c>
    </row>
    <row r="308" spans="1:33" hidden="1">
      <c r="E308" s="66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U308" s="60"/>
      <c r="W308" s="60"/>
      <c r="Y308" s="60"/>
      <c r="AA308" s="60"/>
      <c r="AC308" s="60"/>
      <c r="AG308" s="105" t="s">
        <v>497</v>
      </c>
    </row>
    <row r="309" spans="1:33">
      <c r="C309" s="52" t="s">
        <v>521</v>
      </c>
      <c r="D309" s="88"/>
      <c r="E309" s="65">
        <f>SUM(F309:Q309)</f>
        <v>1029917.8413767351</v>
      </c>
      <c r="F309" s="65">
        <f>F857+F858</f>
        <v>83012.090250790803</v>
      </c>
      <c r="G309" s="65">
        <f t="shared" ref="G309:Q309" si="77">G857+G858</f>
        <v>85441.21549256453</v>
      </c>
      <c r="H309" s="65">
        <f t="shared" si="77"/>
        <v>89693.206183973976</v>
      </c>
      <c r="I309" s="65">
        <f t="shared" si="77"/>
        <v>90309.299955026465</v>
      </c>
      <c r="J309" s="65">
        <f t="shared" si="77"/>
        <v>85366.820813924714</v>
      </c>
      <c r="K309" s="65">
        <f t="shared" si="77"/>
        <v>76846.106949824549</v>
      </c>
      <c r="L309" s="65">
        <f t="shared" si="77"/>
        <v>81226.013577903635</v>
      </c>
      <c r="M309" s="65">
        <f t="shared" si="77"/>
        <v>83497.685876145901</v>
      </c>
      <c r="N309" s="65">
        <f t="shared" si="77"/>
        <v>82169.730766528955</v>
      </c>
      <c r="O309" s="65">
        <f t="shared" si="77"/>
        <v>90135.365866501816</v>
      </c>
      <c r="P309" s="65">
        <f t="shared" si="77"/>
        <v>81321.478561157113</v>
      </c>
      <c r="Q309" s="65">
        <f t="shared" si="77"/>
        <v>100898.82708239256</v>
      </c>
      <c r="U309" s="60"/>
      <c r="W309" s="60"/>
      <c r="Y309" s="60"/>
      <c r="AA309" s="60"/>
      <c r="AC309" s="106"/>
      <c r="AD309" s="63"/>
      <c r="AG309" s="64"/>
    </row>
    <row r="310" spans="1:33" s="64" customFormat="1">
      <c r="A310" s="71"/>
      <c r="C310" s="58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53"/>
      <c r="S310" s="51"/>
      <c r="T310" s="54"/>
    </row>
    <row r="311" spans="1:33" s="64" customFormat="1" ht="15.75">
      <c r="A311" s="103" t="str">
        <f>"Total "&amp;A290</f>
        <v>Total Other Generation</v>
      </c>
      <c r="C311" s="58"/>
      <c r="E311" s="59">
        <f>SUM(F311:Q311)</f>
        <v>1029917.8413767351</v>
      </c>
      <c r="F311" s="66">
        <f t="shared" ref="F311:Q311" si="78">SUM(F291:F309)</f>
        <v>83012.090250790803</v>
      </c>
      <c r="G311" s="66">
        <f t="shared" si="78"/>
        <v>85441.21549256453</v>
      </c>
      <c r="H311" s="66">
        <f t="shared" si="78"/>
        <v>89693.206183973976</v>
      </c>
      <c r="I311" s="66">
        <f t="shared" si="78"/>
        <v>90309.299955026465</v>
      </c>
      <c r="J311" s="66">
        <f t="shared" si="78"/>
        <v>85366.820813924714</v>
      </c>
      <c r="K311" s="66">
        <f t="shared" si="78"/>
        <v>76846.106949824549</v>
      </c>
      <c r="L311" s="66">
        <f t="shared" si="78"/>
        <v>81226.013577903635</v>
      </c>
      <c r="M311" s="66">
        <f t="shared" si="78"/>
        <v>83497.685876145901</v>
      </c>
      <c r="N311" s="66">
        <f t="shared" si="78"/>
        <v>82169.730766528955</v>
      </c>
      <c r="O311" s="66">
        <f t="shared" si="78"/>
        <v>90135.365866501816</v>
      </c>
      <c r="P311" s="66">
        <f t="shared" si="78"/>
        <v>81321.478561157113</v>
      </c>
      <c r="Q311" s="66">
        <f t="shared" si="78"/>
        <v>100898.82708239256</v>
      </c>
      <c r="R311" s="53"/>
      <c r="T311" s="54"/>
    </row>
    <row r="312" spans="1:33">
      <c r="E312" s="107" t="s">
        <v>522</v>
      </c>
      <c r="F312" s="107" t="s">
        <v>522</v>
      </c>
      <c r="G312" s="107" t="s">
        <v>522</v>
      </c>
      <c r="H312" s="107" t="s">
        <v>522</v>
      </c>
      <c r="I312" s="107" t="s">
        <v>522</v>
      </c>
      <c r="J312" s="107" t="s">
        <v>522</v>
      </c>
      <c r="K312" s="107" t="s">
        <v>522</v>
      </c>
      <c r="L312" s="107" t="s">
        <v>522</v>
      </c>
      <c r="M312" s="107" t="s">
        <v>522</v>
      </c>
      <c r="N312" s="107" t="s">
        <v>522</v>
      </c>
      <c r="O312" s="107" t="s">
        <v>522</v>
      </c>
      <c r="P312" s="107" t="s">
        <v>522</v>
      </c>
      <c r="Q312" s="107" t="s">
        <v>522</v>
      </c>
    </row>
    <row r="313" spans="1:33" ht="15.75">
      <c r="A313" s="56" t="s">
        <v>523</v>
      </c>
      <c r="E313" s="108">
        <f>SUM(F313:Q313)</f>
        <v>550701664.85666263</v>
      </c>
      <c r="F313" s="109">
        <f t="shared" ref="F313:Q313" si="79">F240+F247+F264+F288+F311-F66</f>
        <v>41640401.410932295</v>
      </c>
      <c r="G313" s="109">
        <f t="shared" si="79"/>
        <v>39379877.335700341</v>
      </c>
      <c r="H313" s="109">
        <f t="shared" si="79"/>
        <v>39299829.589943975</v>
      </c>
      <c r="I313" s="109">
        <f t="shared" si="79"/>
        <v>48425043.803390756</v>
      </c>
      <c r="J313" s="109">
        <f t="shared" si="79"/>
        <v>49505908.33041279</v>
      </c>
      <c r="K313" s="109">
        <f t="shared" si="79"/>
        <v>44471330.094149455</v>
      </c>
      <c r="L313" s="109">
        <f t="shared" si="79"/>
        <v>48045968.772594601</v>
      </c>
      <c r="M313" s="109">
        <f t="shared" si="79"/>
        <v>47789606.136661068</v>
      </c>
      <c r="N313" s="109">
        <f t="shared" si="79"/>
        <v>52603008.417124033</v>
      </c>
      <c r="O313" s="109">
        <f t="shared" si="79"/>
        <v>49948361.336189948</v>
      </c>
      <c r="P313" s="109">
        <f t="shared" si="79"/>
        <v>46436035.844501644</v>
      </c>
      <c r="Q313" s="109">
        <f t="shared" si="79"/>
        <v>43156293.785061762</v>
      </c>
    </row>
    <row r="314" spans="1:33">
      <c r="E314" s="107" t="s">
        <v>522</v>
      </c>
      <c r="F314" s="107" t="s">
        <v>522</v>
      </c>
      <c r="G314" s="107" t="s">
        <v>522</v>
      </c>
      <c r="H314" s="107" t="s">
        <v>522</v>
      </c>
      <c r="I314" s="107" t="s">
        <v>522</v>
      </c>
      <c r="J314" s="107" t="s">
        <v>522</v>
      </c>
      <c r="K314" s="107" t="s">
        <v>522</v>
      </c>
      <c r="L314" s="107" t="s">
        <v>522</v>
      </c>
      <c r="M314" s="107" t="s">
        <v>522</v>
      </c>
      <c r="N314" s="107" t="s">
        <v>522</v>
      </c>
      <c r="O314" s="107" t="s">
        <v>522</v>
      </c>
      <c r="P314" s="107" t="s">
        <v>522</v>
      </c>
      <c r="Q314" s="107" t="s">
        <v>522</v>
      </c>
    </row>
    <row r="315" spans="1:33" s="113" customFormat="1">
      <c r="A315" s="110" t="s">
        <v>524</v>
      </c>
      <c r="B315" s="110"/>
      <c r="C315" s="111"/>
      <c r="D315" s="110"/>
      <c r="E315" s="112">
        <f t="shared" ref="E315:Q315" si="80">E313/E333</f>
        <v>27.507992703174825</v>
      </c>
      <c r="F315" s="112">
        <f t="shared" si="80"/>
        <v>26.829247468146132</v>
      </c>
      <c r="G315" s="112">
        <f t="shared" si="80"/>
        <v>25.528688723259883</v>
      </c>
      <c r="H315" s="112">
        <f t="shared" si="80"/>
        <v>25.602926760737748</v>
      </c>
      <c r="I315" s="112">
        <f t="shared" si="80"/>
        <v>28.229738130862231</v>
      </c>
      <c r="J315" s="112">
        <f t="shared" si="80"/>
        <v>29.207129296360566</v>
      </c>
      <c r="K315" s="112">
        <f t="shared" si="80"/>
        <v>28.804871862603619</v>
      </c>
      <c r="L315" s="112">
        <f t="shared" si="80"/>
        <v>30.417436905227831</v>
      </c>
      <c r="M315" s="112">
        <f t="shared" si="80"/>
        <v>28.393335709343212</v>
      </c>
      <c r="N315" s="112">
        <f t="shared" si="80"/>
        <v>27.715927243341657</v>
      </c>
      <c r="O315" s="112">
        <f t="shared" si="80"/>
        <v>26.304769418750666</v>
      </c>
      <c r="P315" s="112">
        <f t="shared" si="80"/>
        <v>27.451430050452188</v>
      </c>
      <c r="Q315" s="112">
        <f t="shared" si="80"/>
        <v>25.614931663875339</v>
      </c>
      <c r="R315" s="53"/>
      <c r="T315" s="114"/>
    </row>
    <row r="316" spans="1:33"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</row>
    <row r="317" spans="1:33" ht="15.75">
      <c r="E317" s="115"/>
      <c r="F317" s="75"/>
      <c r="G317" s="109"/>
      <c r="H317" s="109"/>
      <c r="I317" s="109"/>
      <c r="J317" s="116" t="s">
        <v>525</v>
      </c>
      <c r="K317" s="109"/>
      <c r="L317" s="109"/>
      <c r="M317" s="109"/>
      <c r="N317" s="109"/>
      <c r="O317" s="109"/>
      <c r="P317" s="109"/>
      <c r="Q317" s="109"/>
    </row>
    <row r="318" spans="1:33" s="47" customFormat="1">
      <c r="C318" s="117"/>
      <c r="E318" s="118"/>
      <c r="F318" s="75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53"/>
      <c r="T318" s="54"/>
    </row>
    <row r="319" spans="1:33" ht="15.75">
      <c r="A319" s="56" t="s">
        <v>526</v>
      </c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Z319" s="63"/>
    </row>
    <row r="320" spans="1:33" hidden="1">
      <c r="C320" s="58" t="s">
        <v>155</v>
      </c>
      <c r="E320" s="92">
        <f>SUM(F320:Q320)</f>
        <v>0</v>
      </c>
      <c r="F320" s="92">
        <v>0</v>
      </c>
      <c r="G320" s="92">
        <v>0</v>
      </c>
      <c r="H320" s="92">
        <v>0</v>
      </c>
      <c r="I320" s="92">
        <v>0</v>
      </c>
      <c r="J320" s="92">
        <v>0</v>
      </c>
      <c r="K320" s="92">
        <v>0</v>
      </c>
      <c r="L320" s="92">
        <v>0</v>
      </c>
      <c r="M320" s="92">
        <v>0</v>
      </c>
      <c r="N320" s="92">
        <v>0</v>
      </c>
      <c r="O320" s="92">
        <v>0</v>
      </c>
      <c r="P320" s="92">
        <v>0</v>
      </c>
      <c r="Q320" s="92">
        <v>0</v>
      </c>
      <c r="U320" s="60" t="e">
        <v>#N/A</v>
      </c>
      <c r="V320" s="51" t="str">
        <f>V64</f>
        <v>DSM Cool Keeper</v>
      </c>
      <c r="W320" s="60" t="e">
        <v>#N/A</v>
      </c>
      <c r="X320" s="51" t="str">
        <f>X64</f>
        <v>DSM Cool Keeper Shifted</v>
      </c>
      <c r="Y320" s="60"/>
      <c r="Z320" s="51" t="str">
        <f>Z64</f>
        <v>DSM Cool Keeper Reserve</v>
      </c>
      <c r="AA320" s="60"/>
      <c r="AC320" s="54"/>
      <c r="AG320" s="62" t="str">
        <f t="shared" ref="AG320:AG327" si="81">IF(OR(ISNUMBER(U320),ISNUMBER(W320),ISNUMBER(Y320),ISNUMBER(AA320),ISNUMBER(AC320)),"","Hide Row")</f>
        <v>Hide Row</v>
      </c>
    </row>
    <row r="321" spans="1:33" hidden="1">
      <c r="C321" s="58" t="s">
        <v>527</v>
      </c>
      <c r="E321" s="92">
        <f>SUM(F321:Q321)</f>
        <v>0</v>
      </c>
      <c r="F321" s="92">
        <v>0</v>
      </c>
      <c r="G321" s="92">
        <v>0</v>
      </c>
      <c r="H321" s="92">
        <v>0</v>
      </c>
      <c r="I321" s="92">
        <v>0</v>
      </c>
      <c r="J321" s="92">
        <v>0</v>
      </c>
      <c r="K321" s="92">
        <v>0</v>
      </c>
      <c r="L321" s="92">
        <v>0</v>
      </c>
      <c r="M321" s="92">
        <v>0</v>
      </c>
      <c r="N321" s="92">
        <v>0</v>
      </c>
      <c r="O321" s="92">
        <v>0</v>
      </c>
      <c r="P321" s="92">
        <v>0</v>
      </c>
      <c r="Q321" s="92">
        <v>0</v>
      </c>
      <c r="U321" s="60" t="e">
        <v>#N/A</v>
      </c>
      <c r="V321" s="51" t="str">
        <f>C321</f>
        <v>DSM (Irrigation)</v>
      </c>
      <c r="W321" s="60" t="e">
        <v>#REF!</v>
      </c>
      <c r="X321" s="51" t="e">
        <f>#REF!</f>
        <v>#REF!</v>
      </c>
      <c r="Y321" s="60" t="e">
        <v>#REF!</v>
      </c>
      <c r="Z321" s="51" t="e">
        <f>#REF!</f>
        <v>#REF!</v>
      </c>
      <c r="AA321" s="60" t="e">
        <v>#REF!</v>
      </c>
      <c r="AB321" s="51" t="e">
        <f>#REF!</f>
        <v>#REF!</v>
      </c>
      <c r="AC321" s="54"/>
      <c r="AG321" s="62" t="str">
        <f t="shared" si="81"/>
        <v>Hide Row</v>
      </c>
    </row>
    <row r="322" spans="1:33" hidden="1">
      <c r="C322" s="58" t="s">
        <v>164</v>
      </c>
      <c r="E322" s="92">
        <f>SUM(F322:Q322)</f>
        <v>0</v>
      </c>
      <c r="F322" s="92">
        <v>0</v>
      </c>
      <c r="G322" s="92">
        <v>0</v>
      </c>
      <c r="H322" s="92">
        <v>0</v>
      </c>
      <c r="I322" s="92">
        <v>0</v>
      </c>
      <c r="J322" s="92">
        <v>0</v>
      </c>
      <c r="K322" s="92">
        <v>0</v>
      </c>
      <c r="L322" s="92">
        <v>0</v>
      </c>
      <c r="M322" s="92">
        <v>0</v>
      </c>
      <c r="N322" s="92">
        <v>0</v>
      </c>
      <c r="O322" s="92">
        <v>0</v>
      </c>
      <c r="P322" s="92">
        <v>0</v>
      </c>
      <c r="Q322" s="92">
        <v>0</v>
      </c>
      <c r="U322" s="60" t="e">
        <v>#N/A</v>
      </c>
      <c r="V322" s="51" t="str">
        <f>C322</f>
        <v>Kennecott Generation Adjustment</v>
      </c>
      <c r="W322" s="60"/>
      <c r="Y322" s="60"/>
      <c r="AA322" s="60"/>
      <c r="AC322" s="54"/>
      <c r="AG322" s="62" t="str">
        <f t="shared" si="81"/>
        <v>Hide Row</v>
      </c>
    </row>
    <row r="323" spans="1:33">
      <c r="C323" s="58" t="s">
        <v>214</v>
      </c>
      <c r="E323" s="59">
        <f>SUM(F323:Q323)</f>
        <v>0</v>
      </c>
      <c r="F323" s="59">
        <v>0</v>
      </c>
      <c r="G323" s="59">
        <v>0</v>
      </c>
      <c r="H323" s="59">
        <v>0</v>
      </c>
      <c r="I323" s="59">
        <v>0</v>
      </c>
      <c r="J323" s="59">
        <v>0</v>
      </c>
      <c r="K323" s="59">
        <v>0</v>
      </c>
      <c r="L323" s="59">
        <v>0</v>
      </c>
      <c r="M323" s="59">
        <v>0</v>
      </c>
      <c r="N323" s="59">
        <v>0</v>
      </c>
      <c r="O323" s="59">
        <v>0</v>
      </c>
      <c r="P323" s="59">
        <v>0</v>
      </c>
      <c r="Q323" s="59">
        <v>0</v>
      </c>
      <c r="U323" s="60" t="e">
        <v>#N/A</v>
      </c>
      <c r="V323" s="51" t="str">
        <f>V91</f>
        <v>MagCorp Buythrough</v>
      </c>
      <c r="W323" s="60" t="e">
        <v>#N/A</v>
      </c>
      <c r="X323" s="51" t="str">
        <f>X91</f>
        <v>MagCorp Buythrough Winter</v>
      </c>
      <c r="Y323" s="60" t="e">
        <v>#N/A</v>
      </c>
      <c r="Z323" s="51" t="str">
        <f>Z91</f>
        <v>MagCorp Curtailment (Historical)</v>
      </c>
      <c r="AA323" s="60" t="e">
        <v>#N/A</v>
      </c>
      <c r="AB323" s="51" t="str">
        <f>AB91</f>
        <v>MagCorp Curtailment Winter (Historical)</v>
      </c>
      <c r="AC323" s="54"/>
      <c r="AG323" s="62" t="str">
        <f t="shared" si="81"/>
        <v>Hide Row</v>
      </c>
    </row>
    <row r="324" spans="1:33">
      <c r="C324" s="58" t="s">
        <v>232</v>
      </c>
      <c r="E324" s="59">
        <f>SUM(F324:Q324)</f>
        <v>0</v>
      </c>
      <c r="F324" s="59">
        <v>0</v>
      </c>
      <c r="G324" s="59">
        <v>0</v>
      </c>
      <c r="H324" s="59">
        <v>0</v>
      </c>
      <c r="I324" s="59">
        <v>0</v>
      </c>
      <c r="J324" s="59">
        <v>0</v>
      </c>
      <c r="K324" s="59">
        <v>0</v>
      </c>
      <c r="L324" s="59">
        <v>0</v>
      </c>
      <c r="M324" s="59">
        <v>0</v>
      </c>
      <c r="N324" s="59">
        <v>0</v>
      </c>
      <c r="O324" s="59">
        <v>0</v>
      </c>
      <c r="P324" s="59">
        <v>0</v>
      </c>
      <c r="Q324" s="59">
        <v>0</v>
      </c>
      <c r="U324" s="60" t="e">
        <v>#N/A</v>
      </c>
      <c r="V324" s="51" t="s">
        <v>528</v>
      </c>
      <c r="W324" s="60" t="e">
        <v>#N/A</v>
      </c>
      <c r="X324" s="51" t="s">
        <v>232</v>
      </c>
      <c r="Y324" s="60"/>
      <c r="AA324" s="60"/>
      <c r="AC324" s="54"/>
      <c r="AG324" s="62" t="str">
        <f t="shared" si="81"/>
        <v>Hide Row</v>
      </c>
    </row>
    <row r="325" spans="1:33" hidden="1">
      <c r="C325" s="58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U325" s="60"/>
      <c r="W325" s="60"/>
      <c r="Y325" s="60"/>
      <c r="AA325" s="60"/>
      <c r="AC325" s="54"/>
      <c r="AG325" s="62" t="str">
        <f t="shared" si="81"/>
        <v>Hide Row</v>
      </c>
    </row>
    <row r="326" spans="1:33" hidden="1">
      <c r="C326" s="58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U326" s="60"/>
      <c r="W326" s="60"/>
      <c r="Y326" s="60"/>
      <c r="AA326" s="60"/>
      <c r="AC326" s="54"/>
      <c r="AG326" s="62" t="str">
        <f t="shared" si="81"/>
        <v>Hide Row</v>
      </c>
    </row>
    <row r="327" spans="1:33" hidden="1">
      <c r="C327" s="58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U327" s="60"/>
      <c r="W327" s="60"/>
      <c r="Y327" s="60"/>
      <c r="AA327" s="60"/>
      <c r="AC327" s="54"/>
      <c r="AG327" s="62" t="str">
        <f t="shared" si="81"/>
        <v>Hide Row</v>
      </c>
    </row>
    <row r="328" spans="1:33">
      <c r="C328" s="58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U328" s="60"/>
      <c r="W328" s="60"/>
      <c r="Y328" s="60"/>
      <c r="AA328" s="60"/>
      <c r="AC328" s="54"/>
      <c r="AG328" s="62"/>
    </row>
    <row r="329" spans="1:33" s="120" customFormat="1">
      <c r="A329" s="47"/>
      <c r="C329" s="121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53"/>
      <c r="T329" s="54"/>
    </row>
    <row r="330" spans="1:33">
      <c r="B330" s="51" t="str">
        <f>"Total "&amp;A319</f>
        <v>Total Adjustments to Load</v>
      </c>
      <c r="E330" s="59">
        <f>SUM(F330:Q330)</f>
        <v>0</v>
      </c>
      <c r="F330" s="59">
        <f t="shared" ref="F330:Q330" si="82">SUM(F320:F328)</f>
        <v>0</v>
      </c>
      <c r="G330" s="59">
        <f t="shared" si="82"/>
        <v>0</v>
      </c>
      <c r="H330" s="59">
        <f t="shared" si="82"/>
        <v>0</v>
      </c>
      <c r="I330" s="59">
        <f t="shared" si="82"/>
        <v>0</v>
      </c>
      <c r="J330" s="59">
        <f t="shared" si="82"/>
        <v>0</v>
      </c>
      <c r="K330" s="59">
        <f t="shared" si="82"/>
        <v>0</v>
      </c>
      <c r="L330" s="59">
        <f t="shared" si="82"/>
        <v>0</v>
      </c>
      <c r="M330" s="59">
        <f t="shared" si="82"/>
        <v>0</v>
      </c>
      <c r="N330" s="59">
        <f t="shared" si="82"/>
        <v>0</v>
      </c>
      <c r="O330" s="59">
        <f t="shared" si="82"/>
        <v>0</v>
      </c>
      <c r="P330" s="59">
        <f t="shared" si="82"/>
        <v>0</v>
      </c>
      <c r="Q330" s="59">
        <f t="shared" si="82"/>
        <v>0</v>
      </c>
      <c r="AC330" s="54"/>
    </row>
    <row r="331" spans="1:33">
      <c r="E331" s="92"/>
      <c r="F331" s="92"/>
      <c r="G331" s="92"/>
      <c r="H331" s="92"/>
      <c r="I331" s="53"/>
      <c r="J331" s="92"/>
      <c r="K331" s="92"/>
      <c r="L331" s="92"/>
      <c r="M331" s="92"/>
      <c r="N331" s="92"/>
      <c r="O331" s="92"/>
      <c r="P331" s="92"/>
      <c r="Q331" s="92"/>
      <c r="AC331" s="54"/>
    </row>
    <row r="332" spans="1:33">
      <c r="C332" s="52" t="s">
        <v>529</v>
      </c>
      <c r="E332" s="76">
        <f>SUM(F332:Q332)</f>
        <v>20019696.485999998</v>
      </c>
      <c r="F332" s="76">
        <v>1552052.5299999998</v>
      </c>
      <c r="G332" s="76">
        <v>1542573.446</v>
      </c>
      <c r="H332" s="76">
        <v>1534974.105</v>
      </c>
      <c r="I332" s="76">
        <v>1715391.18</v>
      </c>
      <c r="J332" s="76">
        <v>1694993.9799999997</v>
      </c>
      <c r="K332" s="76">
        <v>1543882.2400000002</v>
      </c>
      <c r="L332" s="76">
        <v>1579553.4949999999</v>
      </c>
      <c r="M332" s="76">
        <v>1683127.57</v>
      </c>
      <c r="N332" s="76">
        <v>1897934.28</v>
      </c>
      <c r="O332" s="76">
        <v>1898832.89</v>
      </c>
      <c r="P332" s="76">
        <v>1691570.74</v>
      </c>
      <c r="Q332" s="76">
        <v>1684810.03</v>
      </c>
    </row>
    <row r="333" spans="1:33" ht="15.75">
      <c r="A333" s="56" t="s">
        <v>530</v>
      </c>
      <c r="E333" s="109">
        <f>SUM(F333:Q333)</f>
        <v>20019696.485999998</v>
      </c>
      <c r="F333" s="109">
        <f t="shared" ref="F333:Q333" si="83">F332+F330</f>
        <v>1552052.5299999998</v>
      </c>
      <c r="G333" s="109">
        <f t="shared" si="83"/>
        <v>1542573.446</v>
      </c>
      <c r="H333" s="109">
        <f t="shared" si="83"/>
        <v>1534974.105</v>
      </c>
      <c r="I333" s="109">
        <f t="shared" si="83"/>
        <v>1715391.18</v>
      </c>
      <c r="J333" s="109">
        <f t="shared" si="83"/>
        <v>1694993.9799999997</v>
      </c>
      <c r="K333" s="109">
        <f t="shared" si="83"/>
        <v>1543882.2400000002</v>
      </c>
      <c r="L333" s="109">
        <f t="shared" si="83"/>
        <v>1579553.4949999999</v>
      </c>
      <c r="M333" s="109">
        <f t="shared" si="83"/>
        <v>1683127.57</v>
      </c>
      <c r="N333" s="109">
        <f t="shared" si="83"/>
        <v>1897934.28</v>
      </c>
      <c r="O333" s="109">
        <f t="shared" si="83"/>
        <v>1898832.89</v>
      </c>
      <c r="P333" s="109">
        <f t="shared" si="83"/>
        <v>1691570.74</v>
      </c>
      <c r="Q333" s="109">
        <f t="shared" si="83"/>
        <v>1684810.03</v>
      </c>
      <c r="Z333" s="63" t="s">
        <v>152</v>
      </c>
    </row>
    <row r="334" spans="1:33"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</row>
    <row r="335" spans="1:33" ht="15.75">
      <c r="A335" s="56" t="str">
        <f>A7</f>
        <v>Special Sales For Resale</v>
      </c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</row>
    <row r="336" spans="1:33">
      <c r="B336" s="51" t="str">
        <f>B8</f>
        <v>Long Term Firm Sales</v>
      </c>
      <c r="E336" s="109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U336" s="41" t="s">
        <v>531</v>
      </c>
      <c r="AC336" s="54"/>
    </row>
    <row r="337" spans="3:33">
      <c r="C337" s="58" t="s">
        <v>55</v>
      </c>
      <c r="E337" s="59">
        <f t="shared" ref="E337:E344" si="84">SUM(F337:Q337)</f>
        <v>0</v>
      </c>
      <c r="F337" s="59">
        <v>0</v>
      </c>
      <c r="G337" s="59">
        <v>0</v>
      </c>
      <c r="H337" s="59">
        <v>0</v>
      </c>
      <c r="I337" s="59">
        <v>0</v>
      </c>
      <c r="J337" s="59">
        <v>0</v>
      </c>
      <c r="K337" s="59">
        <v>0</v>
      </c>
      <c r="L337" s="59">
        <v>0</v>
      </c>
      <c r="M337" s="59">
        <v>0</v>
      </c>
      <c r="N337" s="59">
        <v>0</v>
      </c>
      <c r="O337" s="59">
        <v>0</v>
      </c>
      <c r="P337" s="59">
        <v>0</v>
      </c>
      <c r="Q337" s="59">
        <v>0</v>
      </c>
      <c r="S337" s="51" t="b">
        <f t="shared" ref="S337:S352" si="85">C9=C337</f>
        <v>1</v>
      </c>
      <c r="U337" s="60" t="e">
        <v>#N/A</v>
      </c>
      <c r="V337" s="51" t="str">
        <f t="shared" ref="V337:V352" si="86">V9</f>
        <v>Black Hills</v>
      </c>
      <c r="W337" s="60" t="e">
        <v>#N/A</v>
      </c>
      <c r="X337" s="51" t="str">
        <f>X9</f>
        <v>Black Hills Losses</v>
      </c>
      <c r="Y337" s="60"/>
      <c r="AA337" s="60"/>
      <c r="AC337" s="54"/>
      <c r="AG337" s="62" t="str">
        <f t="shared" ref="AG337:AG356" si="87">IF(OR(ISNUMBER(U337),ISNUMBER(W337),ISNUMBER(Y337),ISNUMBER(AA337),ISNUMBER(AC337)),"","Hide Row")</f>
        <v>Hide Row</v>
      </c>
    </row>
    <row r="338" spans="3:33" ht="13.5" customHeight="1">
      <c r="C338" s="58" t="s">
        <v>58</v>
      </c>
      <c r="E338" s="59">
        <f t="shared" si="84"/>
        <v>0</v>
      </c>
      <c r="F338" s="59">
        <v>0</v>
      </c>
      <c r="G338" s="59">
        <v>0</v>
      </c>
      <c r="H338" s="59">
        <v>0</v>
      </c>
      <c r="I338" s="59">
        <v>0</v>
      </c>
      <c r="J338" s="59">
        <v>0</v>
      </c>
      <c r="K338" s="59">
        <v>0</v>
      </c>
      <c r="L338" s="59">
        <v>0</v>
      </c>
      <c r="M338" s="59">
        <v>0</v>
      </c>
      <c r="N338" s="59">
        <v>0</v>
      </c>
      <c r="O338" s="59">
        <v>0</v>
      </c>
      <c r="P338" s="59">
        <v>0</v>
      </c>
      <c r="Q338" s="59">
        <v>0</v>
      </c>
      <c r="S338" s="51" t="b">
        <f t="shared" si="85"/>
        <v>1</v>
      </c>
      <c r="U338" s="60" t="e">
        <v>#N/A</v>
      </c>
      <c r="V338" s="51" t="str">
        <f t="shared" si="86"/>
        <v>BPA Wind Sale</v>
      </c>
      <c r="W338" s="60"/>
      <c r="Y338" s="60"/>
      <c r="AA338" s="60"/>
      <c r="AC338" s="54"/>
      <c r="AG338" s="62" t="str">
        <f t="shared" si="87"/>
        <v>Hide Row</v>
      </c>
    </row>
    <row r="339" spans="3:33" hidden="1">
      <c r="C339" s="58" t="s">
        <v>60</v>
      </c>
      <c r="E339" s="59">
        <f t="shared" si="84"/>
        <v>1590884.1099999999</v>
      </c>
      <c r="F339" s="59">
        <v>249721.45</v>
      </c>
      <c r="G339" s="59">
        <v>280728.71999999997</v>
      </c>
      <c r="H339" s="59">
        <v>346511.15</v>
      </c>
      <c r="I339" s="59">
        <v>242562.73</v>
      </c>
      <c r="J339" s="59">
        <v>178941.66</v>
      </c>
      <c r="K339" s="59">
        <v>49821.13</v>
      </c>
      <c r="L339" s="59">
        <v>103295.36</v>
      </c>
      <c r="M339" s="59">
        <v>3213.23</v>
      </c>
      <c r="N339" s="59">
        <v>0</v>
      </c>
      <c r="O339" s="59">
        <v>0</v>
      </c>
      <c r="P339" s="59">
        <v>28869.89</v>
      </c>
      <c r="Q339" s="59">
        <v>107218.79</v>
      </c>
      <c r="S339" s="51" t="b">
        <f t="shared" si="85"/>
        <v>1</v>
      </c>
      <c r="U339" s="60">
        <v>5</v>
      </c>
      <c r="V339" s="51" t="str">
        <f t="shared" si="86"/>
        <v>East Control Area Sale</v>
      </c>
      <c r="W339" s="60"/>
      <c r="Y339" s="60"/>
      <c r="AA339" s="60"/>
      <c r="AC339" s="54"/>
      <c r="AG339" s="62" t="str">
        <f t="shared" si="87"/>
        <v/>
      </c>
    </row>
    <row r="340" spans="3:33">
      <c r="C340" s="58" t="s">
        <v>62</v>
      </c>
      <c r="E340" s="59">
        <f t="shared" si="84"/>
        <v>0</v>
      </c>
      <c r="F340" s="59">
        <v>0</v>
      </c>
      <c r="G340" s="59">
        <v>0</v>
      </c>
      <c r="H340" s="59">
        <v>0</v>
      </c>
      <c r="I340" s="59">
        <v>0</v>
      </c>
      <c r="J340" s="59">
        <v>0</v>
      </c>
      <c r="K340" s="59">
        <v>0</v>
      </c>
      <c r="L340" s="59">
        <v>0</v>
      </c>
      <c r="M340" s="59">
        <v>0</v>
      </c>
      <c r="N340" s="59">
        <v>0</v>
      </c>
      <c r="O340" s="59">
        <v>0</v>
      </c>
      <c r="P340" s="59">
        <v>0</v>
      </c>
      <c r="Q340" s="59">
        <v>0</v>
      </c>
      <c r="S340" s="51" t="b">
        <f t="shared" si="85"/>
        <v>1</v>
      </c>
      <c r="U340" s="60" t="e">
        <v>#N/A</v>
      </c>
      <c r="V340" s="51" t="str">
        <f t="shared" si="86"/>
        <v>Hurricane Sale</v>
      </c>
      <c r="W340" s="60"/>
      <c r="Y340" s="60"/>
      <c r="AA340" s="60"/>
      <c r="AC340" s="54"/>
      <c r="AG340" s="62" t="str">
        <f t="shared" si="87"/>
        <v>Hide Row</v>
      </c>
    </row>
    <row r="341" spans="3:33">
      <c r="C341" s="58" t="s">
        <v>64</v>
      </c>
      <c r="E341" s="59">
        <f t="shared" si="84"/>
        <v>0</v>
      </c>
      <c r="F341" s="59">
        <v>0</v>
      </c>
      <c r="G341" s="59">
        <v>0</v>
      </c>
      <c r="H341" s="59">
        <v>0</v>
      </c>
      <c r="I341" s="59">
        <v>0</v>
      </c>
      <c r="J341" s="59">
        <v>0</v>
      </c>
      <c r="K341" s="59">
        <v>0</v>
      </c>
      <c r="L341" s="59">
        <v>0</v>
      </c>
      <c r="M341" s="59">
        <v>0</v>
      </c>
      <c r="N341" s="59">
        <v>0</v>
      </c>
      <c r="O341" s="59">
        <v>0</v>
      </c>
      <c r="P341" s="59">
        <v>0</v>
      </c>
      <c r="Q341" s="59">
        <v>0</v>
      </c>
      <c r="S341" s="51" t="b">
        <f t="shared" si="85"/>
        <v>1</v>
      </c>
      <c r="U341" s="60" t="e">
        <v>#N/A</v>
      </c>
      <c r="V341" s="51" t="str">
        <f t="shared" si="86"/>
        <v>IPP Sale (LADWP)</v>
      </c>
      <c r="W341" s="60"/>
      <c r="Y341" s="60"/>
      <c r="AA341" s="60"/>
      <c r="AC341" s="54"/>
      <c r="AG341" s="62" t="str">
        <f t="shared" si="87"/>
        <v>Hide Row</v>
      </c>
    </row>
    <row r="342" spans="3:33">
      <c r="C342" s="58" t="s">
        <v>66</v>
      </c>
      <c r="E342" s="59">
        <f>SUM(F342:Q342)</f>
        <v>0</v>
      </c>
      <c r="F342" s="59">
        <v>0</v>
      </c>
      <c r="G342" s="59">
        <v>0</v>
      </c>
      <c r="H342" s="59">
        <v>0</v>
      </c>
      <c r="I342" s="59">
        <v>0</v>
      </c>
      <c r="J342" s="59">
        <v>0</v>
      </c>
      <c r="K342" s="59">
        <v>0</v>
      </c>
      <c r="L342" s="59">
        <v>0</v>
      </c>
      <c r="M342" s="59">
        <v>0</v>
      </c>
      <c r="N342" s="59">
        <v>0</v>
      </c>
      <c r="O342" s="59">
        <v>0</v>
      </c>
      <c r="P342" s="59">
        <v>0</v>
      </c>
      <c r="Q342" s="59">
        <v>0</v>
      </c>
      <c r="S342" s="51" t="b">
        <f t="shared" si="85"/>
        <v>1</v>
      </c>
      <c r="U342" s="60">
        <v>9</v>
      </c>
      <c r="V342" s="51" t="str">
        <f t="shared" si="86"/>
        <v>Leaning Juniper Revenue</v>
      </c>
      <c r="W342" s="60"/>
      <c r="Y342" s="60"/>
      <c r="AA342" s="60"/>
      <c r="AC342" s="54"/>
      <c r="AG342" s="62" t="str">
        <f t="shared" si="87"/>
        <v/>
      </c>
    </row>
    <row r="343" spans="3:33">
      <c r="C343" s="58" t="s">
        <v>67</v>
      </c>
      <c r="E343" s="59">
        <f>SUM(F343:Q343)</f>
        <v>0</v>
      </c>
      <c r="F343" s="59">
        <v>0</v>
      </c>
      <c r="G343" s="59">
        <v>0</v>
      </c>
      <c r="H343" s="59">
        <v>0</v>
      </c>
      <c r="I343" s="59">
        <v>0</v>
      </c>
      <c r="J343" s="59">
        <v>0</v>
      </c>
      <c r="K343" s="59">
        <v>0</v>
      </c>
      <c r="L343" s="59">
        <v>0</v>
      </c>
      <c r="M343" s="59">
        <v>0</v>
      </c>
      <c r="N343" s="59">
        <v>0</v>
      </c>
      <c r="O343" s="59">
        <v>0</v>
      </c>
      <c r="P343" s="59">
        <v>0</v>
      </c>
      <c r="Q343" s="59">
        <v>0</v>
      </c>
      <c r="S343" s="51" t="b">
        <f t="shared" si="85"/>
        <v>1</v>
      </c>
      <c r="U343" s="60" t="e">
        <v>#N/A</v>
      </c>
      <c r="V343" s="51" t="str">
        <f t="shared" si="86"/>
        <v>NVE s811499</v>
      </c>
      <c r="W343" s="60"/>
      <c r="Y343" s="60"/>
      <c r="AA343" s="60"/>
      <c r="AC343" s="54"/>
      <c r="AG343" s="62" t="str">
        <f t="shared" si="87"/>
        <v>Hide Row</v>
      </c>
    </row>
    <row r="344" spans="3:33">
      <c r="C344" s="58" t="s">
        <v>68</v>
      </c>
      <c r="E344" s="59">
        <f t="shared" si="84"/>
        <v>0</v>
      </c>
      <c r="F344" s="59">
        <v>0</v>
      </c>
      <c r="G344" s="59">
        <v>0</v>
      </c>
      <c r="H344" s="59">
        <v>0</v>
      </c>
      <c r="I344" s="59">
        <v>0</v>
      </c>
      <c r="J344" s="59">
        <v>0</v>
      </c>
      <c r="K344" s="59">
        <v>0</v>
      </c>
      <c r="L344" s="59">
        <v>0</v>
      </c>
      <c r="M344" s="59">
        <v>0</v>
      </c>
      <c r="N344" s="59">
        <v>0</v>
      </c>
      <c r="O344" s="59">
        <v>0</v>
      </c>
      <c r="P344" s="59">
        <v>0</v>
      </c>
      <c r="Q344" s="59">
        <v>0</v>
      </c>
      <c r="S344" s="51" t="b">
        <f t="shared" si="85"/>
        <v>1</v>
      </c>
      <c r="U344" s="60" t="e">
        <v>#N/A</v>
      </c>
      <c r="V344" s="51" t="str">
        <f t="shared" si="86"/>
        <v>Pacific Gas and Electric s524491</v>
      </c>
      <c r="W344" s="60"/>
      <c r="Y344" s="60"/>
      <c r="AA344" s="60"/>
      <c r="AC344" s="54"/>
      <c r="AG344" s="62" t="str">
        <f t="shared" si="87"/>
        <v>Hide Row</v>
      </c>
    </row>
    <row r="345" spans="3:33">
      <c r="C345" s="58" t="s">
        <v>70</v>
      </c>
      <c r="E345" s="59">
        <f t="shared" ref="E345:E352" si="88">SUM(F345:Q345)</f>
        <v>0</v>
      </c>
      <c r="F345" s="59">
        <v>0</v>
      </c>
      <c r="G345" s="59">
        <v>0</v>
      </c>
      <c r="H345" s="59">
        <v>0</v>
      </c>
      <c r="I345" s="59">
        <v>0</v>
      </c>
      <c r="J345" s="59">
        <v>0</v>
      </c>
      <c r="K345" s="59">
        <v>0</v>
      </c>
      <c r="L345" s="59">
        <v>0</v>
      </c>
      <c r="M345" s="59">
        <v>0</v>
      </c>
      <c r="N345" s="59">
        <v>0</v>
      </c>
      <c r="O345" s="59">
        <v>0</v>
      </c>
      <c r="P345" s="59">
        <v>0</v>
      </c>
      <c r="Q345" s="59">
        <v>0</v>
      </c>
      <c r="S345" s="51" t="b">
        <f t="shared" si="85"/>
        <v>1</v>
      </c>
      <c r="U345" s="60" t="e">
        <v>#N/A</v>
      </c>
      <c r="V345" s="51" t="str">
        <f t="shared" si="86"/>
        <v>PSCo Sale summer</v>
      </c>
      <c r="W345" s="60" t="e">
        <v>#N/A</v>
      </c>
      <c r="X345" s="51" t="str">
        <f>X17</f>
        <v>PSCo Sale winter</v>
      </c>
      <c r="Y345" s="60"/>
      <c r="AA345" s="60"/>
      <c r="AC345" s="54"/>
      <c r="AG345" s="62" t="str">
        <f t="shared" si="87"/>
        <v>Hide Row</v>
      </c>
    </row>
    <row r="346" spans="3:33">
      <c r="C346" s="58" t="s">
        <v>73</v>
      </c>
      <c r="E346" s="59">
        <f t="shared" si="88"/>
        <v>0</v>
      </c>
      <c r="F346" s="59">
        <v>0</v>
      </c>
      <c r="G346" s="59">
        <v>0</v>
      </c>
      <c r="H346" s="59">
        <v>0</v>
      </c>
      <c r="I346" s="59">
        <v>0</v>
      </c>
      <c r="J346" s="59">
        <v>0</v>
      </c>
      <c r="K346" s="59">
        <v>0</v>
      </c>
      <c r="L346" s="59">
        <v>0</v>
      </c>
      <c r="M346" s="59">
        <v>0</v>
      </c>
      <c r="N346" s="59">
        <v>0</v>
      </c>
      <c r="O346" s="59">
        <v>0</v>
      </c>
      <c r="P346" s="59">
        <v>0</v>
      </c>
      <c r="Q346" s="59">
        <v>0</v>
      </c>
      <c r="S346" s="51" t="b">
        <f t="shared" si="85"/>
        <v>1</v>
      </c>
      <c r="U346" s="60" t="e">
        <v>#N/A</v>
      </c>
      <c r="V346" s="51" t="str">
        <f t="shared" si="86"/>
        <v>Salt River Project</v>
      </c>
      <c r="W346" s="60"/>
      <c r="Y346" s="60"/>
      <c r="AA346" s="60"/>
      <c r="AC346" s="54"/>
      <c r="AG346" s="62" t="str">
        <f t="shared" si="87"/>
        <v>Hide Row</v>
      </c>
    </row>
    <row r="347" spans="3:33">
      <c r="C347" s="58" t="s">
        <v>75</v>
      </c>
      <c r="E347" s="59">
        <f>SUM(F347:Q347)</f>
        <v>0</v>
      </c>
      <c r="F347" s="59">
        <v>0</v>
      </c>
      <c r="G347" s="59">
        <v>0</v>
      </c>
      <c r="H347" s="59">
        <v>0</v>
      </c>
      <c r="I347" s="59">
        <v>0</v>
      </c>
      <c r="J347" s="59">
        <v>0</v>
      </c>
      <c r="K347" s="59">
        <v>0</v>
      </c>
      <c r="L347" s="59">
        <v>0</v>
      </c>
      <c r="M347" s="59">
        <v>0</v>
      </c>
      <c r="N347" s="59">
        <v>0</v>
      </c>
      <c r="O347" s="59">
        <v>0</v>
      </c>
      <c r="P347" s="59">
        <v>0</v>
      </c>
      <c r="Q347" s="59">
        <v>0</v>
      </c>
      <c r="S347" s="51" t="b">
        <f t="shared" si="85"/>
        <v>1</v>
      </c>
      <c r="U347" s="60" t="e">
        <v>#N/A</v>
      </c>
      <c r="V347" s="51" t="str">
        <f t="shared" si="86"/>
        <v>SCE s513948</v>
      </c>
      <c r="W347" s="60"/>
      <c r="Y347" s="60"/>
      <c r="AA347" s="60"/>
      <c r="AC347" s="54"/>
      <c r="AG347" s="62" t="str">
        <f t="shared" si="87"/>
        <v>Hide Row</v>
      </c>
    </row>
    <row r="348" spans="3:33">
      <c r="C348" s="58" t="s">
        <v>76</v>
      </c>
      <c r="E348" s="59">
        <f>SUM(F348:Q348)</f>
        <v>0</v>
      </c>
      <c r="F348" s="59">
        <v>0</v>
      </c>
      <c r="G348" s="59">
        <v>0</v>
      </c>
      <c r="H348" s="59">
        <v>0</v>
      </c>
      <c r="I348" s="59">
        <v>0</v>
      </c>
      <c r="J348" s="59">
        <v>0</v>
      </c>
      <c r="K348" s="59">
        <v>0</v>
      </c>
      <c r="L348" s="59">
        <v>0</v>
      </c>
      <c r="M348" s="59">
        <v>0</v>
      </c>
      <c r="N348" s="59">
        <v>0</v>
      </c>
      <c r="O348" s="59">
        <v>0</v>
      </c>
      <c r="P348" s="59">
        <v>0</v>
      </c>
      <c r="Q348" s="59">
        <v>0</v>
      </c>
      <c r="S348" s="51" t="b">
        <f t="shared" si="85"/>
        <v>1</v>
      </c>
      <c r="U348" s="60" t="e">
        <v>#N/A</v>
      </c>
      <c r="V348" s="51" t="str">
        <f t="shared" si="86"/>
        <v>SDGE s513949</v>
      </c>
      <c r="W348" s="60"/>
      <c r="Y348" s="60"/>
      <c r="AA348" s="60"/>
      <c r="AC348" s="54"/>
      <c r="AG348" s="62" t="str">
        <f t="shared" si="87"/>
        <v>Hide Row</v>
      </c>
    </row>
    <row r="349" spans="3:33">
      <c r="C349" s="58" t="s">
        <v>78</v>
      </c>
      <c r="E349" s="59">
        <f t="shared" si="88"/>
        <v>0</v>
      </c>
      <c r="F349" s="59">
        <v>0</v>
      </c>
      <c r="G349" s="59">
        <v>0</v>
      </c>
      <c r="H349" s="59">
        <v>0</v>
      </c>
      <c r="I349" s="59">
        <v>0</v>
      </c>
      <c r="J349" s="59">
        <v>0</v>
      </c>
      <c r="K349" s="59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0</v>
      </c>
      <c r="Q349" s="59">
        <v>0</v>
      </c>
      <c r="S349" s="51" t="b">
        <f t="shared" si="85"/>
        <v>1</v>
      </c>
      <c r="U349" s="60" t="e">
        <v>#N/A</v>
      </c>
      <c r="V349" s="51" t="str">
        <f t="shared" si="86"/>
        <v>Shell Sale 2013-2014</v>
      </c>
      <c r="W349" s="60"/>
      <c r="Y349" s="60"/>
      <c r="AA349" s="60"/>
      <c r="AC349" s="54"/>
      <c r="AG349" s="62" t="str">
        <f t="shared" si="87"/>
        <v>Hide Row</v>
      </c>
    </row>
    <row r="350" spans="3:33">
      <c r="C350" s="58" t="s">
        <v>79</v>
      </c>
      <c r="E350" s="59">
        <f t="shared" si="88"/>
        <v>0</v>
      </c>
      <c r="F350" s="59">
        <v>0</v>
      </c>
      <c r="G350" s="59">
        <v>0</v>
      </c>
      <c r="H350" s="59">
        <v>0</v>
      </c>
      <c r="I350" s="59">
        <v>0</v>
      </c>
      <c r="J350" s="59">
        <v>0</v>
      </c>
      <c r="K350" s="59">
        <v>0</v>
      </c>
      <c r="L350" s="59">
        <v>0</v>
      </c>
      <c r="M350" s="59">
        <v>0</v>
      </c>
      <c r="N350" s="59">
        <v>0</v>
      </c>
      <c r="O350" s="59">
        <v>0</v>
      </c>
      <c r="P350" s="59">
        <v>0</v>
      </c>
      <c r="Q350" s="59">
        <v>0</v>
      </c>
      <c r="S350" s="51" t="b">
        <f t="shared" si="85"/>
        <v>1</v>
      </c>
      <c r="U350" s="60" t="e">
        <v>#N/A</v>
      </c>
      <c r="V350" s="51" t="str">
        <f t="shared" si="86"/>
        <v>SMUD</v>
      </c>
      <c r="W350" s="60" t="e">
        <v>#N/A</v>
      </c>
      <c r="X350" s="51" t="str">
        <f>X22</f>
        <v>SMUD PROVISIONAL</v>
      </c>
      <c r="Y350" s="60" t="e">
        <v>#N/A</v>
      </c>
      <c r="Z350" s="51" t="str">
        <f>Z22</f>
        <v>SMUD Monthly (contract price)</v>
      </c>
      <c r="AA350" s="60" t="e">
        <v>#N/A</v>
      </c>
      <c r="AB350" s="51" t="str">
        <f>AB22</f>
        <v>SMUD Monthly (imputed price)</v>
      </c>
      <c r="AC350" s="54"/>
      <c r="AG350" s="62" t="str">
        <f t="shared" si="87"/>
        <v>Hide Row</v>
      </c>
    </row>
    <row r="351" spans="3:33" hidden="1">
      <c r="C351" s="58" t="s">
        <v>85</v>
      </c>
      <c r="D351" s="64"/>
      <c r="E351" s="59">
        <f t="shared" si="88"/>
        <v>0</v>
      </c>
      <c r="F351" s="59">
        <v>0</v>
      </c>
      <c r="G351" s="59">
        <v>0</v>
      </c>
      <c r="H351" s="59">
        <v>0</v>
      </c>
      <c r="I351" s="59">
        <v>0</v>
      </c>
      <c r="J351" s="59">
        <v>0</v>
      </c>
      <c r="K351" s="59">
        <v>0</v>
      </c>
      <c r="L351" s="59">
        <v>0</v>
      </c>
      <c r="M351" s="59">
        <v>0</v>
      </c>
      <c r="N351" s="59">
        <v>0</v>
      </c>
      <c r="O351" s="59">
        <v>0</v>
      </c>
      <c r="P351" s="59">
        <v>0</v>
      </c>
      <c r="Q351" s="59">
        <v>0</v>
      </c>
      <c r="S351" s="51" t="b">
        <f t="shared" si="85"/>
        <v>1</v>
      </c>
      <c r="U351" s="60" t="e">
        <v>#N/A</v>
      </c>
      <c r="V351" s="51" t="str">
        <f t="shared" si="86"/>
        <v>UAMPS s223863</v>
      </c>
      <c r="W351" s="60"/>
      <c r="Y351" s="60"/>
      <c r="AA351" s="60"/>
      <c r="AC351" s="54"/>
      <c r="AG351" s="62" t="str">
        <f t="shared" si="87"/>
        <v>Hide Row</v>
      </c>
    </row>
    <row r="352" spans="3:33" hidden="1">
      <c r="C352" s="58">
        <v>0</v>
      </c>
      <c r="D352" s="64"/>
      <c r="E352" s="59">
        <f t="shared" si="88"/>
        <v>0</v>
      </c>
      <c r="F352" s="59">
        <v>0</v>
      </c>
      <c r="G352" s="59">
        <v>0</v>
      </c>
      <c r="H352" s="59">
        <v>0</v>
      </c>
      <c r="I352" s="59">
        <v>0</v>
      </c>
      <c r="J352" s="59">
        <v>0</v>
      </c>
      <c r="K352" s="59">
        <v>0</v>
      </c>
      <c r="L352" s="59">
        <v>0</v>
      </c>
      <c r="M352" s="59">
        <v>0</v>
      </c>
      <c r="N352" s="59">
        <v>0</v>
      </c>
      <c r="O352" s="59">
        <v>0</v>
      </c>
      <c r="P352" s="59">
        <v>0</v>
      </c>
      <c r="Q352" s="59">
        <v>0</v>
      </c>
      <c r="S352" s="51" t="b">
        <f t="shared" si="85"/>
        <v>1</v>
      </c>
      <c r="U352" s="60" t="e">
        <v>#N/A</v>
      </c>
      <c r="V352" s="51">
        <f t="shared" si="86"/>
        <v>0</v>
      </c>
      <c r="W352" s="60"/>
      <c r="Y352" s="60"/>
      <c r="AA352" s="60"/>
      <c r="AC352" s="54"/>
      <c r="AG352" s="62" t="str">
        <f t="shared" si="87"/>
        <v>Hide Row</v>
      </c>
    </row>
    <row r="353" spans="1:33" hidden="1">
      <c r="C353" s="58"/>
      <c r="D353" s="64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U353" s="60"/>
      <c r="W353" s="60"/>
      <c r="Y353" s="60"/>
      <c r="AA353" s="60"/>
      <c r="AC353" s="54"/>
      <c r="AG353" s="62" t="str">
        <f t="shared" si="87"/>
        <v>Hide Row</v>
      </c>
    </row>
    <row r="354" spans="1:33" hidden="1">
      <c r="C354" s="58"/>
      <c r="D354" s="64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U354" s="60"/>
      <c r="W354" s="60"/>
      <c r="Y354" s="60"/>
      <c r="AA354" s="60"/>
      <c r="AC354" s="54"/>
      <c r="AG354" s="62" t="str">
        <f t="shared" si="87"/>
        <v>Hide Row</v>
      </c>
    </row>
    <row r="355" spans="1:33" hidden="1">
      <c r="C355" s="58"/>
      <c r="D355" s="64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U355" s="60"/>
      <c r="W355" s="60"/>
      <c r="Y355" s="60"/>
      <c r="AA355" s="60"/>
      <c r="AC355" s="54"/>
      <c r="AG355" s="62" t="str">
        <f t="shared" si="87"/>
        <v>Hide Row</v>
      </c>
    </row>
    <row r="356" spans="1:33">
      <c r="C356" s="58" t="s">
        <v>86</v>
      </c>
      <c r="D356" s="64"/>
      <c r="E356" s="65">
        <f>SUM(F356:Q356)</f>
        <v>0</v>
      </c>
      <c r="F356" s="65">
        <v>0</v>
      </c>
      <c r="G356" s="65">
        <v>0</v>
      </c>
      <c r="H356" s="65">
        <v>0</v>
      </c>
      <c r="I356" s="65">
        <v>0</v>
      </c>
      <c r="J356" s="65">
        <v>0</v>
      </c>
      <c r="K356" s="65">
        <v>0</v>
      </c>
      <c r="L356" s="65">
        <v>0</v>
      </c>
      <c r="M356" s="65">
        <v>0</v>
      </c>
      <c r="N356" s="65">
        <v>0</v>
      </c>
      <c r="O356" s="65">
        <v>0</v>
      </c>
      <c r="P356" s="65">
        <v>0</v>
      </c>
      <c r="Q356" s="65">
        <v>0</v>
      </c>
      <c r="S356" s="51" t="b">
        <f>C28=C356</f>
        <v>1</v>
      </c>
      <c r="U356" s="60" t="e">
        <v>#N/A</v>
      </c>
      <c r="V356" s="51" t="str">
        <f>V28</f>
        <v>UMPA II</v>
      </c>
      <c r="W356" s="60"/>
      <c r="Y356" s="60"/>
      <c r="AA356" s="60"/>
      <c r="AC356" s="54"/>
      <c r="AG356" s="62" t="str">
        <f t="shared" si="87"/>
        <v>Hide Row</v>
      </c>
    </row>
    <row r="357" spans="1:33" s="72" customFormat="1">
      <c r="A357" s="73"/>
      <c r="C357" s="91"/>
      <c r="D357" s="51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53"/>
      <c r="S357" s="51"/>
      <c r="T357" s="54"/>
      <c r="U357" s="51"/>
      <c r="V357" s="51"/>
      <c r="W357" s="51"/>
      <c r="X357" s="51"/>
      <c r="Y357" s="51"/>
      <c r="Z357" s="51"/>
      <c r="AA357" s="51"/>
      <c r="AB357" s="51"/>
      <c r="AC357" s="54"/>
    </row>
    <row r="358" spans="1:33">
      <c r="B358" s="51" t="str">
        <f>B30</f>
        <v>Total Long Term Firm Sales</v>
      </c>
      <c r="E358" s="66">
        <f>SUM(F358:Q358)</f>
        <v>1590884.1099999999</v>
      </c>
      <c r="F358" s="66">
        <f t="shared" ref="F358:Q358" si="89">SUM(F337:F356)</f>
        <v>249721.45</v>
      </c>
      <c r="G358" s="66">
        <f t="shared" si="89"/>
        <v>280728.71999999997</v>
      </c>
      <c r="H358" s="66">
        <f t="shared" si="89"/>
        <v>346511.15</v>
      </c>
      <c r="I358" s="66">
        <f t="shared" si="89"/>
        <v>242562.73</v>
      </c>
      <c r="J358" s="66">
        <f t="shared" si="89"/>
        <v>178941.66</v>
      </c>
      <c r="K358" s="66">
        <f t="shared" si="89"/>
        <v>49821.13</v>
      </c>
      <c r="L358" s="66">
        <f t="shared" si="89"/>
        <v>103295.36</v>
      </c>
      <c r="M358" s="66">
        <f t="shared" si="89"/>
        <v>3213.23</v>
      </c>
      <c r="N358" s="66">
        <f t="shared" si="89"/>
        <v>0</v>
      </c>
      <c r="O358" s="66">
        <f t="shared" si="89"/>
        <v>0</v>
      </c>
      <c r="P358" s="66">
        <f t="shared" si="89"/>
        <v>28869.89</v>
      </c>
      <c r="Q358" s="66">
        <f t="shared" si="89"/>
        <v>107218.79</v>
      </c>
      <c r="AC358" s="54"/>
    </row>
    <row r="359" spans="1:33"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U359" s="60"/>
      <c r="AC359" s="54"/>
    </row>
    <row r="360" spans="1:33">
      <c r="B360" s="51" t="str">
        <f>B32</f>
        <v>Short Term Firm Sales</v>
      </c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U360" s="41" t="s">
        <v>532</v>
      </c>
      <c r="W360" s="54"/>
      <c r="AC360" s="54"/>
    </row>
    <row r="361" spans="1:33">
      <c r="C361" s="58" t="s">
        <v>90</v>
      </c>
      <c r="E361" s="59">
        <f t="shared" ref="E361:E374" si="90">SUM(F361:Q361)</f>
        <v>0</v>
      </c>
      <c r="F361" s="59">
        <v>0</v>
      </c>
      <c r="G361" s="59">
        <v>0</v>
      </c>
      <c r="H361" s="59">
        <v>0</v>
      </c>
      <c r="I361" s="59">
        <v>0</v>
      </c>
      <c r="J361" s="59">
        <v>0</v>
      </c>
      <c r="K361" s="59">
        <v>0</v>
      </c>
      <c r="L361" s="59">
        <v>0</v>
      </c>
      <c r="M361" s="59">
        <v>0</v>
      </c>
      <c r="N361" s="59">
        <v>0</v>
      </c>
      <c r="O361" s="59">
        <v>0</v>
      </c>
      <c r="P361" s="59">
        <v>0</v>
      </c>
      <c r="Q361" s="59">
        <v>0</v>
      </c>
      <c r="S361" s="51" t="b">
        <f t="shared" ref="S361:S374" si="91">C33=C361</f>
        <v>1</v>
      </c>
      <c r="U361" s="60" t="e">
        <v>#N/A</v>
      </c>
      <c r="V361" s="51" t="str">
        <f t="shared" ref="V361:V374" si="92">V33</f>
        <v>COB</v>
      </c>
      <c r="W361" s="60"/>
      <c r="Y361" s="60"/>
      <c r="Z361" s="54"/>
      <c r="AA361" s="60"/>
      <c r="AC361" s="60"/>
      <c r="AG361" s="62" t="str">
        <f>IF(OR(ISNUMBER(U361),ISNUMBER(W361),ISNUMBER(Y361),ISNUMBER(AA361),ISNUMBER(Y382)),"","Hide Row")</f>
        <v>Hide Row</v>
      </c>
    </row>
    <row r="362" spans="1:33">
      <c r="C362" s="58" t="s">
        <v>91</v>
      </c>
      <c r="E362" s="59">
        <f t="shared" si="90"/>
        <v>0</v>
      </c>
      <c r="F362" s="59">
        <v>0</v>
      </c>
      <c r="G362" s="59">
        <v>0</v>
      </c>
      <c r="H362" s="59">
        <v>0</v>
      </c>
      <c r="I362" s="59">
        <v>0</v>
      </c>
      <c r="J362" s="59">
        <v>0</v>
      </c>
      <c r="K362" s="59">
        <v>0</v>
      </c>
      <c r="L362" s="59">
        <v>0</v>
      </c>
      <c r="M362" s="59">
        <v>0</v>
      </c>
      <c r="N362" s="59">
        <v>0</v>
      </c>
      <c r="O362" s="59">
        <v>0</v>
      </c>
      <c r="P362" s="59">
        <v>0</v>
      </c>
      <c r="Q362" s="59">
        <v>0</v>
      </c>
      <c r="S362" s="51" t="b">
        <f t="shared" si="91"/>
        <v>1</v>
      </c>
      <c r="U362" s="60" t="e">
        <v>#N/A</v>
      </c>
      <c r="V362" s="51" t="str">
        <f t="shared" si="92"/>
        <v>Colorado</v>
      </c>
      <c r="W362" s="60"/>
      <c r="Y362" s="60" t="e">
        <v>#N/A</v>
      </c>
      <c r="Z362" s="51" t="str">
        <f>Z34</f>
        <v>Tri-State MP</v>
      </c>
      <c r="AA362" s="60"/>
      <c r="AC362" s="60"/>
      <c r="AG362" s="62" t="str">
        <f t="shared" ref="AG362:AG377" si="93">IF(OR(ISNUMBER(U362),ISNUMBER(W362),ISNUMBER(Y362),ISNUMBER(AA362),ISNUMBER(Y383)),"","Hide Row")</f>
        <v>Hide Row</v>
      </c>
    </row>
    <row r="363" spans="1:33" hidden="1">
      <c r="C363" s="58" t="s">
        <v>93</v>
      </c>
      <c r="E363" s="59">
        <f t="shared" si="90"/>
        <v>0</v>
      </c>
      <c r="F363" s="59">
        <v>0</v>
      </c>
      <c r="G363" s="59">
        <v>0</v>
      </c>
      <c r="H363" s="59">
        <v>0</v>
      </c>
      <c r="I363" s="59">
        <v>0</v>
      </c>
      <c r="J363" s="59">
        <v>0</v>
      </c>
      <c r="K363" s="59">
        <v>0</v>
      </c>
      <c r="L363" s="59">
        <v>0</v>
      </c>
      <c r="M363" s="59">
        <v>0</v>
      </c>
      <c r="N363" s="59">
        <v>0</v>
      </c>
      <c r="O363" s="59">
        <v>0</v>
      </c>
      <c r="P363" s="59">
        <v>0</v>
      </c>
      <c r="Q363" s="59">
        <v>0</v>
      </c>
      <c r="S363" s="51" t="b">
        <f t="shared" si="91"/>
        <v>1</v>
      </c>
      <c r="U363" s="60" t="e">
        <v>#N/A</v>
      </c>
      <c r="V363" s="51" t="str">
        <f t="shared" si="92"/>
        <v>Four Corners</v>
      </c>
      <c r="W363" s="60"/>
      <c r="X363" s="54"/>
      <c r="Y363" s="60" t="e">
        <v>#N/A</v>
      </c>
      <c r="Z363" s="51" t="str">
        <f>Z35</f>
        <v>APS</v>
      </c>
      <c r="AA363" s="60"/>
      <c r="AC363" s="60"/>
      <c r="AG363" s="62" t="str">
        <f t="shared" si="93"/>
        <v>Hide Row</v>
      </c>
    </row>
    <row r="364" spans="1:33" hidden="1">
      <c r="C364" s="58" t="s">
        <v>95</v>
      </c>
      <c r="E364" s="59">
        <f t="shared" si="90"/>
        <v>0</v>
      </c>
      <c r="F364" s="59">
        <v>0</v>
      </c>
      <c r="G364" s="59">
        <v>0</v>
      </c>
      <c r="H364" s="59">
        <v>0</v>
      </c>
      <c r="I364" s="59">
        <v>0</v>
      </c>
      <c r="J364" s="59">
        <v>0</v>
      </c>
      <c r="K364" s="59">
        <v>0</v>
      </c>
      <c r="L364" s="59">
        <v>0</v>
      </c>
      <c r="M364" s="59">
        <v>0</v>
      </c>
      <c r="N364" s="59">
        <v>0</v>
      </c>
      <c r="O364" s="59">
        <v>0</v>
      </c>
      <c r="P364" s="59">
        <v>0</v>
      </c>
      <c r="Q364" s="59">
        <v>0</v>
      </c>
      <c r="S364" s="51" t="b">
        <f t="shared" si="91"/>
        <v>1</v>
      </c>
      <c r="U364" s="60" t="e">
        <v>#N/A</v>
      </c>
      <c r="V364" s="51" t="str">
        <f t="shared" si="92"/>
        <v>Goshen</v>
      </c>
      <c r="W364" s="60" t="e">
        <v>#N/A</v>
      </c>
      <c r="X364" s="51" t="str">
        <f>X36</f>
        <v>Path C</v>
      </c>
      <c r="Y364" s="60" t="e">
        <v>#N/A</v>
      </c>
      <c r="Z364" s="51" t="str">
        <f>Z36</f>
        <v>Brady</v>
      </c>
      <c r="AA364" s="60" t="e">
        <v>#N/A</v>
      </c>
      <c r="AB364" s="51" t="str">
        <f>AB36</f>
        <v>Idaho</v>
      </c>
      <c r="AC364" s="60" t="e">
        <v>#N/A</v>
      </c>
      <c r="AD364" s="51" t="str">
        <f>AD36</f>
        <v>IPC West</v>
      </c>
      <c r="AG364" s="62" t="str">
        <f t="shared" si="93"/>
        <v>Hide Row</v>
      </c>
    </row>
    <row r="365" spans="1:33">
      <c r="C365" s="58" t="s">
        <v>100</v>
      </c>
      <c r="E365" s="59">
        <f t="shared" ref="E365" si="94">SUM(F365:Q365)</f>
        <v>0</v>
      </c>
      <c r="F365" s="59">
        <v>0</v>
      </c>
      <c r="G365" s="59">
        <v>0</v>
      </c>
      <c r="H365" s="59">
        <v>0</v>
      </c>
      <c r="I365" s="59">
        <v>0</v>
      </c>
      <c r="J365" s="59">
        <v>0</v>
      </c>
      <c r="K365" s="59">
        <v>0</v>
      </c>
      <c r="L365" s="59">
        <v>0</v>
      </c>
      <c r="M365" s="59">
        <v>0</v>
      </c>
      <c r="N365" s="59">
        <v>0</v>
      </c>
      <c r="O365" s="59">
        <v>0</v>
      </c>
      <c r="P365" s="59">
        <v>0</v>
      </c>
      <c r="Q365" s="59">
        <v>0</v>
      </c>
      <c r="S365" s="51" t="b">
        <f t="shared" si="91"/>
        <v>1</v>
      </c>
      <c r="U365" s="60" t="e">
        <v>#N/A</v>
      </c>
      <c r="V365" s="51" t="str">
        <f t="shared" si="92"/>
        <v>Mead</v>
      </c>
      <c r="W365" s="60" t="e">
        <v>#N/A</v>
      </c>
      <c r="X365" s="51">
        <f>X37</f>
        <v>0</v>
      </c>
      <c r="Y365" s="60" t="e">
        <v>#N/A</v>
      </c>
      <c r="Z365" s="51">
        <f>Z37</f>
        <v>0</v>
      </c>
      <c r="AA365" s="60"/>
      <c r="AC365" s="60"/>
      <c r="AG365" s="62" t="str">
        <f t="shared" si="93"/>
        <v>Hide Row</v>
      </c>
    </row>
    <row r="366" spans="1:33">
      <c r="C366" s="58" t="s">
        <v>101</v>
      </c>
      <c r="E366" s="59">
        <f t="shared" si="90"/>
        <v>0</v>
      </c>
      <c r="F366" s="59">
        <v>0</v>
      </c>
      <c r="G366" s="59">
        <v>0</v>
      </c>
      <c r="H366" s="59">
        <v>0</v>
      </c>
      <c r="I366" s="59">
        <v>0</v>
      </c>
      <c r="J366" s="59">
        <v>0</v>
      </c>
      <c r="K366" s="59">
        <v>0</v>
      </c>
      <c r="L366" s="59">
        <v>0</v>
      </c>
      <c r="M366" s="59">
        <v>0</v>
      </c>
      <c r="N366" s="59">
        <v>0</v>
      </c>
      <c r="O366" s="59">
        <v>0</v>
      </c>
      <c r="P366" s="59">
        <v>0</v>
      </c>
      <c r="Q366" s="59">
        <v>0</v>
      </c>
      <c r="S366" s="51" t="b">
        <f t="shared" si="91"/>
        <v>1</v>
      </c>
      <c r="U366" s="60">
        <v>1</v>
      </c>
      <c r="V366" s="51" t="str">
        <f t="shared" si="92"/>
        <v>Mid Columbia</v>
      </c>
      <c r="W366" s="60"/>
      <c r="X366" s="54"/>
      <c r="Y366" s="60" t="e">
        <v>#N/A</v>
      </c>
      <c r="Z366" s="51" t="str">
        <f>Z38</f>
        <v>BPA FPT</v>
      </c>
      <c r="AA366" s="60"/>
      <c r="AC366" s="60"/>
      <c r="AG366" s="62" t="str">
        <f t="shared" si="93"/>
        <v/>
      </c>
    </row>
    <row r="367" spans="1:33">
      <c r="C367" s="58" t="s">
        <v>103</v>
      </c>
      <c r="E367" s="59">
        <f t="shared" si="90"/>
        <v>0</v>
      </c>
      <c r="F367" s="59">
        <v>0</v>
      </c>
      <c r="G367" s="59">
        <v>0</v>
      </c>
      <c r="H367" s="59">
        <v>0</v>
      </c>
      <c r="I367" s="59">
        <v>0</v>
      </c>
      <c r="J367" s="59">
        <v>0</v>
      </c>
      <c r="K367" s="59">
        <v>0</v>
      </c>
      <c r="L367" s="59">
        <v>0</v>
      </c>
      <c r="M367" s="59">
        <v>0</v>
      </c>
      <c r="N367" s="59">
        <v>0</v>
      </c>
      <c r="O367" s="59">
        <v>0</v>
      </c>
      <c r="P367" s="59">
        <v>0</v>
      </c>
      <c r="Q367" s="59">
        <v>0</v>
      </c>
      <c r="S367" s="51" t="b">
        <f t="shared" si="91"/>
        <v>1</v>
      </c>
      <c r="U367" s="60" t="e">
        <v>#N/A</v>
      </c>
      <c r="V367" s="51" t="str">
        <f t="shared" si="92"/>
        <v>Mona</v>
      </c>
      <c r="W367" s="60"/>
      <c r="X367" s="54"/>
      <c r="Y367" s="60"/>
      <c r="Z367" s="54"/>
      <c r="AA367" s="60"/>
      <c r="AC367" s="60"/>
      <c r="AG367" s="62" t="str">
        <f t="shared" si="93"/>
        <v>Hide Row</v>
      </c>
    </row>
    <row r="368" spans="1:33">
      <c r="C368" s="58" t="s">
        <v>104</v>
      </c>
      <c r="E368" s="59">
        <f t="shared" ref="E368" si="95">SUM(F368:Q368)</f>
        <v>0</v>
      </c>
      <c r="F368" s="59">
        <v>0</v>
      </c>
      <c r="G368" s="59">
        <v>0</v>
      </c>
      <c r="H368" s="59">
        <v>0</v>
      </c>
      <c r="I368" s="59">
        <v>0</v>
      </c>
      <c r="J368" s="59">
        <v>0</v>
      </c>
      <c r="K368" s="59">
        <v>0</v>
      </c>
      <c r="L368" s="59">
        <v>0</v>
      </c>
      <c r="M368" s="59">
        <v>0</v>
      </c>
      <c r="N368" s="59">
        <v>0</v>
      </c>
      <c r="O368" s="59">
        <v>0</v>
      </c>
      <c r="P368" s="59">
        <v>0</v>
      </c>
      <c r="Q368" s="59">
        <v>0</v>
      </c>
      <c r="S368" s="51" t="b">
        <f t="shared" si="91"/>
        <v>1</v>
      </c>
      <c r="U368" s="60" t="e">
        <v>#N/A</v>
      </c>
      <c r="V368" s="51" t="str">
        <f t="shared" si="92"/>
        <v>NOB</v>
      </c>
      <c r="W368" s="60"/>
      <c r="X368" s="54"/>
      <c r="Y368" s="60"/>
      <c r="Z368" s="54"/>
      <c r="AA368" s="60"/>
      <c r="AC368" s="60"/>
      <c r="AG368" s="62" t="str">
        <f t="shared" si="93"/>
        <v>Hide Row</v>
      </c>
    </row>
    <row r="369" spans="1:33">
      <c r="C369" s="58" t="s">
        <v>105</v>
      </c>
      <c r="E369" s="59">
        <f t="shared" si="90"/>
        <v>0</v>
      </c>
      <c r="F369" s="59">
        <v>0</v>
      </c>
      <c r="G369" s="59">
        <v>0</v>
      </c>
      <c r="H369" s="59">
        <v>0</v>
      </c>
      <c r="I369" s="59">
        <v>0</v>
      </c>
      <c r="J369" s="59">
        <v>0</v>
      </c>
      <c r="K369" s="59">
        <v>0</v>
      </c>
      <c r="L369" s="59">
        <v>0</v>
      </c>
      <c r="M369" s="59">
        <v>0</v>
      </c>
      <c r="N369" s="59">
        <v>0</v>
      </c>
      <c r="O369" s="59">
        <v>0</v>
      </c>
      <c r="P369" s="59">
        <v>0</v>
      </c>
      <c r="Q369" s="59">
        <v>0</v>
      </c>
      <c r="S369" s="51" t="b">
        <f t="shared" si="91"/>
        <v>1</v>
      </c>
      <c r="U369" s="60" t="e">
        <v>#N/A</v>
      </c>
      <c r="V369" s="51" t="str">
        <f t="shared" si="92"/>
        <v>Palo Verde</v>
      </c>
      <c r="W369" s="60" t="e">
        <v>#N/A</v>
      </c>
      <c r="X369" s="51" t="str">
        <f>X41</f>
        <v>Cholla</v>
      </c>
      <c r="Y369" s="60" t="e">
        <v>#N/A</v>
      </c>
      <c r="Z369" s="51" t="str">
        <f>Z41</f>
        <v>PP-GC</v>
      </c>
      <c r="AA369" s="60"/>
      <c r="AC369" s="60"/>
      <c r="AG369" s="62" t="str">
        <f t="shared" si="93"/>
        <v>Hide Row</v>
      </c>
    </row>
    <row r="370" spans="1:33">
      <c r="C370" s="58" t="s">
        <v>108</v>
      </c>
      <c r="E370" s="59">
        <f t="shared" si="90"/>
        <v>0</v>
      </c>
      <c r="F370" s="59">
        <v>0</v>
      </c>
      <c r="G370" s="59">
        <v>0</v>
      </c>
      <c r="H370" s="59">
        <v>0</v>
      </c>
      <c r="I370" s="59">
        <v>0</v>
      </c>
      <c r="J370" s="59">
        <v>0</v>
      </c>
      <c r="K370" s="59">
        <v>0</v>
      </c>
      <c r="L370" s="59">
        <v>0</v>
      </c>
      <c r="M370" s="59">
        <v>0</v>
      </c>
      <c r="N370" s="59">
        <v>0</v>
      </c>
      <c r="O370" s="59">
        <v>0</v>
      </c>
      <c r="P370" s="59">
        <v>0</v>
      </c>
      <c r="Q370" s="59">
        <v>0</v>
      </c>
      <c r="S370" s="51" t="b">
        <f t="shared" si="91"/>
        <v>1</v>
      </c>
      <c r="U370" s="60" t="e">
        <v>#N/A</v>
      </c>
      <c r="V370" s="51" t="str">
        <f t="shared" si="92"/>
        <v>SP15</v>
      </c>
      <c r="W370" s="60"/>
      <c r="Y370" s="60"/>
      <c r="Z370" s="54"/>
      <c r="AA370" s="60"/>
      <c r="AC370" s="60"/>
      <c r="AG370" s="62" t="str">
        <f t="shared" si="93"/>
        <v>Hide Row</v>
      </c>
    </row>
    <row r="371" spans="1:33">
      <c r="C371" s="58" t="s">
        <v>109</v>
      </c>
      <c r="E371" s="59">
        <f t="shared" si="90"/>
        <v>0</v>
      </c>
      <c r="F371" s="59">
        <v>0</v>
      </c>
      <c r="G371" s="59">
        <v>0</v>
      </c>
      <c r="H371" s="59">
        <v>0</v>
      </c>
      <c r="I371" s="59">
        <v>0</v>
      </c>
      <c r="J371" s="59">
        <v>0</v>
      </c>
      <c r="K371" s="59">
        <v>0</v>
      </c>
      <c r="L371" s="59">
        <v>0</v>
      </c>
      <c r="M371" s="59">
        <v>0</v>
      </c>
      <c r="N371" s="59">
        <v>0</v>
      </c>
      <c r="O371" s="59">
        <v>0</v>
      </c>
      <c r="P371" s="59">
        <v>0</v>
      </c>
      <c r="Q371" s="59">
        <v>0</v>
      </c>
      <c r="S371" s="51" t="b">
        <f t="shared" si="91"/>
        <v>1</v>
      </c>
      <c r="U371" s="60" t="e">
        <v>#N/A</v>
      </c>
      <c r="V371" s="51" t="str">
        <f t="shared" si="92"/>
        <v>Utah North</v>
      </c>
      <c r="W371" s="60" t="e">
        <v>#N/A</v>
      </c>
      <c r="X371" s="51" t="str">
        <f>X43</f>
        <v>Utah South</v>
      </c>
      <c r="Y371" s="60" t="e">
        <v>#N/A</v>
      </c>
      <c r="Z371" s="51" t="str">
        <f>Z43</f>
        <v>Path C North</v>
      </c>
      <c r="AA371" s="60"/>
      <c r="AC371" s="60"/>
      <c r="AD371" s="70" t="str">
        <f t="shared" ref="AD371:AD374" si="96">AD43</f>
        <v>Load Contingency East Obligation</v>
      </c>
      <c r="AG371" s="62" t="str">
        <f t="shared" si="93"/>
        <v>Hide Row</v>
      </c>
    </row>
    <row r="372" spans="1:33">
      <c r="C372" s="58" t="s">
        <v>10</v>
      </c>
      <c r="E372" s="59">
        <f t="shared" si="90"/>
        <v>0</v>
      </c>
      <c r="F372" s="59">
        <v>0</v>
      </c>
      <c r="G372" s="59">
        <v>0</v>
      </c>
      <c r="H372" s="59">
        <v>0</v>
      </c>
      <c r="I372" s="59">
        <v>0</v>
      </c>
      <c r="J372" s="59">
        <v>0</v>
      </c>
      <c r="K372" s="59">
        <v>0</v>
      </c>
      <c r="L372" s="59">
        <v>0</v>
      </c>
      <c r="M372" s="59">
        <v>0</v>
      </c>
      <c r="N372" s="59">
        <v>0</v>
      </c>
      <c r="O372" s="59">
        <v>0</v>
      </c>
      <c r="P372" s="59">
        <v>0</v>
      </c>
      <c r="Q372" s="59">
        <v>0</v>
      </c>
      <c r="S372" s="51" t="b">
        <f t="shared" si="91"/>
        <v>1</v>
      </c>
      <c r="U372" s="60" t="e">
        <v>#N/A</v>
      </c>
      <c r="V372" s="51" t="str">
        <f t="shared" si="92"/>
        <v>Yakima</v>
      </c>
      <c r="W372" s="60" t="e">
        <v>#N/A</v>
      </c>
      <c r="X372" s="51" t="str">
        <f>X44</f>
        <v>Walla Walla</v>
      </c>
      <c r="Y372" s="60" t="e">
        <v>#N/A</v>
      </c>
      <c r="Z372" s="51" t="str">
        <f>Z44</f>
        <v>Chehalis</v>
      </c>
      <c r="AA372" s="60"/>
      <c r="AC372" s="60"/>
      <c r="AD372" s="70" t="str">
        <f t="shared" si="96"/>
        <v>Load Contingency East Offset</v>
      </c>
      <c r="AG372" s="62" t="str">
        <f t="shared" si="93"/>
        <v>Hide Row</v>
      </c>
    </row>
    <row r="373" spans="1:33">
      <c r="C373" s="58" t="s">
        <v>118</v>
      </c>
      <c r="E373" s="59">
        <f t="shared" si="90"/>
        <v>0</v>
      </c>
      <c r="F373" s="59">
        <v>0</v>
      </c>
      <c r="G373" s="59">
        <v>0</v>
      </c>
      <c r="H373" s="59">
        <v>0</v>
      </c>
      <c r="I373" s="59">
        <v>0</v>
      </c>
      <c r="J373" s="59">
        <v>0</v>
      </c>
      <c r="K373" s="59">
        <v>0</v>
      </c>
      <c r="L373" s="59">
        <v>0</v>
      </c>
      <c r="M373" s="59">
        <v>0</v>
      </c>
      <c r="N373" s="59">
        <v>0</v>
      </c>
      <c r="O373" s="59">
        <v>0</v>
      </c>
      <c r="P373" s="59">
        <v>0</v>
      </c>
      <c r="Q373" s="59">
        <v>0</v>
      </c>
      <c r="S373" s="51" t="b">
        <f t="shared" si="91"/>
        <v>1</v>
      </c>
      <c r="U373" s="60" t="e">
        <v>#N/A</v>
      </c>
      <c r="V373" s="51" t="str">
        <f t="shared" si="92"/>
        <v>West Main</v>
      </c>
      <c r="W373" s="60" t="e">
        <v>#N/A</v>
      </c>
      <c r="X373" s="51" t="str">
        <f>X45</f>
        <v>Jim Bridger</v>
      </c>
      <c r="Y373" s="60" t="e">
        <v>#N/A</v>
      </c>
      <c r="Z373" s="51" t="str">
        <f>Z45</f>
        <v>Amps-Colstrip</v>
      </c>
      <c r="AA373" s="60"/>
      <c r="AC373" s="60"/>
      <c r="AD373" s="70" t="str">
        <f t="shared" si="96"/>
        <v>Load Contingency West Obligation</v>
      </c>
      <c r="AG373" s="62" t="str">
        <f t="shared" si="93"/>
        <v>Hide Row</v>
      </c>
    </row>
    <row r="374" spans="1:33">
      <c r="C374" s="58" t="s">
        <v>122</v>
      </c>
      <c r="E374" s="59">
        <f t="shared" si="90"/>
        <v>0</v>
      </c>
      <c r="F374" s="59">
        <v>0</v>
      </c>
      <c r="G374" s="59">
        <v>0</v>
      </c>
      <c r="H374" s="59">
        <v>0</v>
      </c>
      <c r="I374" s="59">
        <v>0</v>
      </c>
      <c r="J374" s="59">
        <v>0</v>
      </c>
      <c r="K374" s="59">
        <v>0</v>
      </c>
      <c r="L374" s="59">
        <v>0</v>
      </c>
      <c r="M374" s="59">
        <v>0</v>
      </c>
      <c r="N374" s="59">
        <v>0</v>
      </c>
      <c r="O374" s="59">
        <v>0</v>
      </c>
      <c r="P374" s="59">
        <v>0</v>
      </c>
      <c r="Q374" s="59">
        <v>0</v>
      </c>
      <c r="R374" s="54"/>
      <c r="S374" s="51" t="b">
        <f t="shared" si="91"/>
        <v>1</v>
      </c>
      <c r="U374" s="60" t="e">
        <v>#N/A</v>
      </c>
      <c r="V374" s="51" t="str">
        <f t="shared" si="92"/>
        <v>Wyoming Northeast</v>
      </c>
      <c r="W374" s="60" t="e">
        <v>#N/A</v>
      </c>
      <c r="X374" s="51" t="str">
        <f>X46</f>
        <v>Wyoming Central</v>
      </c>
      <c r="Y374" s="60" t="e">
        <v>#N/A</v>
      </c>
      <c r="Z374" s="51" t="str">
        <f>Z46</f>
        <v>Trona</v>
      </c>
      <c r="AA374" s="60"/>
      <c r="AC374" s="60"/>
      <c r="AD374" s="70" t="str">
        <f t="shared" si="96"/>
        <v>Load Contingency West Offset</v>
      </c>
      <c r="AG374" s="62" t="str">
        <f t="shared" si="93"/>
        <v>Hide Row</v>
      </c>
    </row>
    <row r="375" spans="1:33">
      <c r="C375" s="58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4"/>
      <c r="U375" s="60"/>
      <c r="W375" s="60"/>
      <c r="Y375" s="60"/>
      <c r="AA375" s="60"/>
      <c r="AC375" s="60"/>
      <c r="AG375" s="62" t="str">
        <f t="shared" si="93"/>
        <v>Hide Row</v>
      </c>
    </row>
    <row r="376" spans="1:33">
      <c r="C376" s="58" t="s">
        <v>130</v>
      </c>
      <c r="E376" s="59">
        <f>SUM(F376:Q376)</f>
        <v>0</v>
      </c>
      <c r="F376" s="59">
        <v>0</v>
      </c>
      <c r="G376" s="59">
        <v>0</v>
      </c>
      <c r="H376" s="59">
        <v>0</v>
      </c>
      <c r="I376" s="59">
        <v>0</v>
      </c>
      <c r="J376" s="59">
        <v>0</v>
      </c>
      <c r="K376" s="59">
        <v>0</v>
      </c>
      <c r="L376" s="59">
        <v>0</v>
      </c>
      <c r="M376" s="59">
        <v>0</v>
      </c>
      <c r="N376" s="59">
        <v>0</v>
      </c>
      <c r="O376" s="59">
        <v>0</v>
      </c>
      <c r="P376" s="59">
        <v>0</v>
      </c>
      <c r="Q376" s="59">
        <v>0</v>
      </c>
      <c r="R376" s="92"/>
      <c r="S376" s="51" t="b">
        <f>C48=C376</f>
        <v>1</v>
      </c>
      <c r="U376" s="60" t="e">
        <v>#N/A</v>
      </c>
      <c r="V376" s="51" t="str">
        <f>V48</f>
        <v>STF Arbitrage Margin</v>
      </c>
      <c r="W376" s="60" t="e">
        <v>#N/A</v>
      </c>
      <c r="X376" s="51">
        <f>X48</f>
        <v>0</v>
      </c>
      <c r="Y376" s="60"/>
      <c r="Z376" s="54"/>
      <c r="AA376" s="60"/>
      <c r="AC376" s="60"/>
      <c r="AG376" s="62" t="str">
        <f t="shared" si="93"/>
        <v>Hide Row</v>
      </c>
    </row>
    <row r="377" spans="1:33" s="72" customFormat="1">
      <c r="A377" s="73"/>
      <c r="C377" s="58" t="s">
        <v>132</v>
      </c>
      <c r="E377" s="65">
        <f>SUM(F377:Q377)</f>
        <v>0</v>
      </c>
      <c r="F377" s="59">
        <v>0</v>
      </c>
      <c r="G377" s="65">
        <v>0</v>
      </c>
      <c r="H377" s="65">
        <v>0</v>
      </c>
      <c r="I377" s="65">
        <v>0</v>
      </c>
      <c r="J377" s="65">
        <v>0</v>
      </c>
      <c r="K377" s="65">
        <v>0</v>
      </c>
      <c r="L377" s="65">
        <v>0</v>
      </c>
      <c r="M377" s="65">
        <v>0</v>
      </c>
      <c r="N377" s="65">
        <v>0</v>
      </c>
      <c r="O377" s="65">
        <v>0</v>
      </c>
      <c r="P377" s="65">
        <v>0</v>
      </c>
      <c r="Q377" s="65">
        <v>0</v>
      </c>
      <c r="R377" s="75"/>
      <c r="S377" s="51" t="b">
        <f>C49=C377</f>
        <v>1</v>
      </c>
      <c r="T377" s="54"/>
      <c r="U377" s="60" t="e">
        <v>#N/A</v>
      </c>
      <c r="V377" s="51" t="str">
        <f>V49</f>
        <v>STF Index Trades - Sell - West</v>
      </c>
      <c r="W377" s="60" t="e">
        <v>#N/A</v>
      </c>
      <c r="X377" s="51" t="str">
        <f>X49</f>
        <v>STF Index Trades - Sell - East</v>
      </c>
      <c r="Y377" s="60"/>
      <c r="Z377" s="54"/>
      <c r="AA377" s="60"/>
      <c r="AB377" s="51"/>
      <c r="AC377" s="60"/>
      <c r="AD377" s="51"/>
      <c r="AE377" s="51"/>
      <c r="AF377" s="51"/>
      <c r="AG377" s="62" t="str">
        <f t="shared" si="93"/>
        <v>Hide Row</v>
      </c>
    </row>
    <row r="378" spans="1:33" s="72" customFormat="1">
      <c r="A378" s="73"/>
      <c r="C378" s="52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53"/>
      <c r="T378" s="54"/>
      <c r="U378" s="51"/>
      <c r="V378" s="51"/>
      <c r="W378" s="51"/>
      <c r="X378" s="51"/>
      <c r="Y378" s="51"/>
      <c r="Z378" s="51"/>
      <c r="AA378" s="51"/>
      <c r="AB378" s="51"/>
      <c r="AC378" s="54"/>
    </row>
    <row r="379" spans="1:33">
      <c r="B379" s="51" t="str">
        <f>B51</f>
        <v>Total Short Term Firm Sales</v>
      </c>
      <c r="E379" s="66">
        <f>SUM(F379:Q379)</f>
        <v>0</v>
      </c>
      <c r="F379" s="66">
        <f t="shared" ref="F379:Q379" si="97">SUM(F361:F377)</f>
        <v>0</v>
      </c>
      <c r="G379" s="66">
        <f t="shared" si="97"/>
        <v>0</v>
      </c>
      <c r="H379" s="66">
        <f t="shared" si="97"/>
        <v>0</v>
      </c>
      <c r="I379" s="66">
        <f t="shared" si="97"/>
        <v>0</v>
      </c>
      <c r="J379" s="66">
        <f t="shared" si="97"/>
        <v>0</v>
      </c>
      <c r="K379" s="66">
        <f t="shared" si="97"/>
        <v>0</v>
      </c>
      <c r="L379" s="66">
        <f t="shared" si="97"/>
        <v>0</v>
      </c>
      <c r="M379" s="66">
        <f t="shared" si="97"/>
        <v>0</v>
      </c>
      <c r="N379" s="66">
        <f t="shared" si="97"/>
        <v>0</v>
      </c>
      <c r="O379" s="66">
        <f t="shared" si="97"/>
        <v>0</v>
      </c>
      <c r="P379" s="66">
        <f t="shared" si="97"/>
        <v>0</v>
      </c>
      <c r="Q379" s="66">
        <f t="shared" si="97"/>
        <v>0</v>
      </c>
      <c r="AC379" s="54"/>
    </row>
    <row r="380" spans="1:33"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AC380" s="54"/>
    </row>
    <row r="381" spans="1:33">
      <c r="B381" s="51" t="str">
        <f>B53</f>
        <v>System Balancing Sales</v>
      </c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U381" s="41" t="s">
        <v>533</v>
      </c>
      <c r="AC381" s="54"/>
    </row>
    <row r="382" spans="1:33">
      <c r="C382" s="58" t="s">
        <v>90</v>
      </c>
      <c r="D382" s="63"/>
      <c r="E382" s="59">
        <f t="shared" ref="E382:E390" si="98">SUM(F382:Q382)</f>
        <v>928838.07200000004</v>
      </c>
      <c r="F382" s="59">
        <v>54197.51</v>
      </c>
      <c r="G382" s="59">
        <v>47572.315999999999</v>
      </c>
      <c r="H382" s="59">
        <v>41837.54</v>
      </c>
      <c r="I382" s="59">
        <v>114043.12</v>
      </c>
      <c r="J382" s="59">
        <v>97037.14</v>
      </c>
      <c r="K382" s="59">
        <v>97322.61</v>
      </c>
      <c r="L382" s="59">
        <v>66120</v>
      </c>
      <c r="M382" s="59">
        <v>74506.39</v>
      </c>
      <c r="N382" s="59">
        <v>80903.53</v>
      </c>
      <c r="O382" s="59">
        <v>91788.266000000003</v>
      </c>
      <c r="P382" s="59">
        <v>85477.35</v>
      </c>
      <c r="Q382" s="59">
        <v>78032.3</v>
      </c>
      <c r="S382" s="51" t="b">
        <f t="shared" ref="S382:S390" si="99">C54=C382</f>
        <v>1</v>
      </c>
      <c r="U382" s="60">
        <v>1</v>
      </c>
      <c r="V382" s="51" t="str">
        <f t="shared" ref="V382:V389" si="100">V54</f>
        <v>COB</v>
      </c>
      <c r="W382" s="60" t="e">
        <v>#N/A</v>
      </c>
      <c r="X382" s="51">
        <f>X54</f>
        <v>0</v>
      </c>
      <c r="Y382" s="61" t="e">
        <v>#N/A</v>
      </c>
      <c r="Z382" s="51" t="str">
        <f>Z54</f>
        <v>Cal ISO West - COB Sale</v>
      </c>
      <c r="AC382" s="54"/>
      <c r="AG382" s="62" t="str">
        <f>IF(OR(ISNUMBER(U382),ISNUMBER(W382),ISNUMBER(#REF!),ISNUMBER(AA382),ISNUMBER(AC382)),"","Hide Row")</f>
        <v/>
      </c>
    </row>
    <row r="383" spans="1:33">
      <c r="C383" s="58" t="s">
        <v>93</v>
      </c>
      <c r="D383" s="63"/>
      <c r="E383" s="59">
        <f t="shared" si="98"/>
        <v>0</v>
      </c>
      <c r="F383" s="59">
        <v>0</v>
      </c>
      <c r="G383" s="59">
        <v>0</v>
      </c>
      <c r="H383" s="59">
        <v>0</v>
      </c>
      <c r="I383" s="59">
        <v>0</v>
      </c>
      <c r="J383" s="59">
        <v>0</v>
      </c>
      <c r="K383" s="59">
        <v>0</v>
      </c>
      <c r="L383" s="59">
        <v>0</v>
      </c>
      <c r="M383" s="59">
        <v>0</v>
      </c>
      <c r="N383" s="59">
        <v>0</v>
      </c>
      <c r="O383" s="59">
        <v>0</v>
      </c>
      <c r="P383" s="59">
        <v>0</v>
      </c>
      <c r="Q383" s="59">
        <v>0</v>
      </c>
      <c r="S383" s="51" t="b">
        <f t="shared" si="99"/>
        <v>1</v>
      </c>
      <c r="U383" s="60" t="e">
        <v>#N/A</v>
      </c>
      <c r="V383" s="51" t="str">
        <f t="shared" si="100"/>
        <v>Four Corners</v>
      </c>
      <c r="W383" s="60" t="e">
        <v>#N/A</v>
      </c>
      <c r="X383" s="51" t="str">
        <f>X55</f>
        <v>DSW</v>
      </c>
      <c r="Y383" s="61" t="e">
        <v>#N/A</v>
      </c>
      <c r="Z383" s="51" t="str">
        <f>Z55</f>
        <v>Cal ISO East - Four Corners Sale</v>
      </c>
      <c r="AC383" s="54"/>
      <c r="AG383" s="62" t="str">
        <f>IF(OR(ISNUMBER(U383),ISNUMBER(W383),ISNUMBER(#REF!),ISNUMBER(AA383),ISNUMBER(AC383)),"","Hide Row")</f>
        <v>Hide Row</v>
      </c>
    </row>
    <row r="384" spans="1:33">
      <c r="C384" s="58" t="s">
        <v>100</v>
      </c>
      <c r="D384" s="63"/>
      <c r="E384" s="59">
        <f t="shared" ref="E384" si="101">SUM(F384:Q384)</f>
        <v>0</v>
      </c>
      <c r="F384" s="59">
        <v>0</v>
      </c>
      <c r="G384" s="59">
        <v>0</v>
      </c>
      <c r="H384" s="59">
        <v>0</v>
      </c>
      <c r="I384" s="59">
        <v>0</v>
      </c>
      <c r="J384" s="59">
        <v>0</v>
      </c>
      <c r="K384" s="59">
        <v>0</v>
      </c>
      <c r="L384" s="59">
        <v>0</v>
      </c>
      <c r="M384" s="59">
        <v>0</v>
      </c>
      <c r="N384" s="59">
        <v>0</v>
      </c>
      <c r="O384" s="59">
        <v>0</v>
      </c>
      <c r="P384" s="59">
        <v>0</v>
      </c>
      <c r="Q384" s="59">
        <v>0</v>
      </c>
      <c r="S384" s="51" t="b">
        <f t="shared" si="99"/>
        <v>1</v>
      </c>
      <c r="U384" s="60" t="e">
        <v>#N/A</v>
      </c>
      <c r="V384" s="51" t="str">
        <f t="shared" si="100"/>
        <v>Mead</v>
      </c>
      <c r="W384" s="60" t="e">
        <v>#N/A</v>
      </c>
      <c r="X384" s="51">
        <f>X56</f>
        <v>0</v>
      </c>
      <c r="AC384" s="54"/>
      <c r="AG384" s="62" t="str">
        <f>IF(OR(ISNUMBER(U384),ISNUMBER(W384),ISNUMBER(#REF!),ISNUMBER(AA384),ISNUMBER(AC384)),"","Hide Row")</f>
        <v>Hide Row</v>
      </c>
    </row>
    <row r="385" spans="1:33">
      <c r="C385" s="58" t="s">
        <v>101</v>
      </c>
      <c r="D385" s="63"/>
      <c r="E385" s="59">
        <f t="shared" si="98"/>
        <v>292940.78909999999</v>
      </c>
      <c r="F385" s="59">
        <v>5031.0654000000004</v>
      </c>
      <c r="G385" s="59">
        <v>1083.3748000000001</v>
      </c>
      <c r="H385" s="59">
        <v>417.75990000000002</v>
      </c>
      <c r="I385" s="59">
        <v>43242.402000000002</v>
      </c>
      <c r="J385" s="59">
        <v>48181.535000000003</v>
      </c>
      <c r="K385" s="59">
        <v>48715.042999999998</v>
      </c>
      <c r="L385" s="59">
        <v>37905.644999999997</v>
      </c>
      <c r="M385" s="59">
        <v>22901.236000000001</v>
      </c>
      <c r="N385" s="59">
        <v>17204.918000000001</v>
      </c>
      <c r="O385" s="59">
        <v>21783.838</v>
      </c>
      <c r="P385" s="59">
        <v>22713.697</v>
      </c>
      <c r="Q385" s="59">
        <v>23760.275000000001</v>
      </c>
      <c r="S385" s="51" t="b">
        <f t="shared" si="99"/>
        <v>1</v>
      </c>
      <c r="U385" s="60">
        <v>2</v>
      </c>
      <c r="V385" s="51" t="str">
        <f t="shared" si="100"/>
        <v>Mid Columbia</v>
      </c>
      <c r="W385" s="54"/>
      <c r="X385" s="54"/>
      <c r="AC385" s="54"/>
      <c r="AG385" s="62" t="str">
        <f>IF(OR(ISNUMBER(U385),ISNUMBER(W385),ISNUMBER(#REF!),ISNUMBER(AA385),ISNUMBER(AC385)),"","Hide Row")</f>
        <v/>
      </c>
    </row>
    <row r="386" spans="1:33">
      <c r="C386" s="58" t="s">
        <v>103</v>
      </c>
      <c r="D386" s="63"/>
      <c r="E386" s="59">
        <f t="shared" si="98"/>
        <v>0</v>
      </c>
      <c r="F386" s="59">
        <v>0</v>
      </c>
      <c r="G386" s="59">
        <v>0</v>
      </c>
      <c r="H386" s="59">
        <v>0</v>
      </c>
      <c r="I386" s="59">
        <v>0</v>
      </c>
      <c r="J386" s="59">
        <v>0</v>
      </c>
      <c r="K386" s="59">
        <v>0</v>
      </c>
      <c r="L386" s="59">
        <v>0</v>
      </c>
      <c r="M386" s="59">
        <v>0</v>
      </c>
      <c r="N386" s="59">
        <v>0</v>
      </c>
      <c r="O386" s="59">
        <v>0</v>
      </c>
      <c r="P386" s="59">
        <v>0</v>
      </c>
      <c r="Q386" s="59">
        <v>0</v>
      </c>
      <c r="S386" s="51" t="b">
        <f t="shared" si="99"/>
        <v>1</v>
      </c>
      <c r="U386" s="60" t="e">
        <v>#N/A</v>
      </c>
      <c r="V386" s="51" t="str">
        <f t="shared" si="100"/>
        <v>Mona</v>
      </c>
      <c r="W386" s="54"/>
      <c r="X386" s="54"/>
      <c r="Y386" s="61" t="e">
        <v>#N/A</v>
      </c>
      <c r="Z386" s="51" t="str">
        <f>Z58</f>
        <v>Cal ISO East - Mona Sale</v>
      </c>
      <c r="AC386" s="54"/>
      <c r="AG386" s="62" t="str">
        <f>IF(OR(ISNUMBER(U386),ISNUMBER(W386),ISNUMBER(#REF!),ISNUMBER(AA386),ISNUMBER(AC386)),"","Hide Row")</f>
        <v>Hide Row</v>
      </c>
    </row>
    <row r="387" spans="1:33">
      <c r="C387" s="58" t="s">
        <v>104</v>
      </c>
      <c r="D387" s="63"/>
      <c r="E387" s="59">
        <f t="shared" ref="E387" si="102">SUM(F387:Q387)</f>
        <v>0</v>
      </c>
      <c r="F387" s="59">
        <v>0</v>
      </c>
      <c r="G387" s="59">
        <v>0</v>
      </c>
      <c r="H387" s="59">
        <v>0</v>
      </c>
      <c r="I387" s="59">
        <v>0</v>
      </c>
      <c r="J387" s="59">
        <v>0</v>
      </c>
      <c r="K387" s="59">
        <v>0</v>
      </c>
      <c r="L387" s="59">
        <v>0</v>
      </c>
      <c r="M387" s="59">
        <v>0</v>
      </c>
      <c r="N387" s="59">
        <v>0</v>
      </c>
      <c r="O387" s="59">
        <v>0</v>
      </c>
      <c r="P387" s="59">
        <v>0</v>
      </c>
      <c r="Q387" s="59">
        <v>0</v>
      </c>
      <c r="S387" s="51" t="b">
        <f t="shared" si="99"/>
        <v>1</v>
      </c>
      <c r="U387" s="60">
        <v>3</v>
      </c>
      <c r="V387" s="51" t="str">
        <f t="shared" si="100"/>
        <v>NOB</v>
      </c>
      <c r="W387" s="54"/>
      <c r="X387" s="54"/>
      <c r="AC387" s="54"/>
      <c r="AG387" s="62" t="str">
        <f>IF(OR(ISNUMBER(U387),ISNUMBER(W387),ISNUMBER(#REF!),ISNUMBER(AA387),ISNUMBER(AC387)),"","Hide Row")</f>
        <v/>
      </c>
    </row>
    <row r="388" spans="1:33">
      <c r="C388" s="58" t="s">
        <v>105</v>
      </c>
      <c r="D388" s="63"/>
      <c r="E388" s="59">
        <f t="shared" si="98"/>
        <v>0</v>
      </c>
      <c r="F388" s="59">
        <v>0</v>
      </c>
      <c r="G388" s="59">
        <v>0</v>
      </c>
      <c r="H388" s="59">
        <v>0</v>
      </c>
      <c r="I388" s="59">
        <v>0</v>
      </c>
      <c r="J388" s="59">
        <v>0</v>
      </c>
      <c r="K388" s="59">
        <v>0</v>
      </c>
      <c r="L388" s="59">
        <v>0</v>
      </c>
      <c r="M388" s="59">
        <v>0</v>
      </c>
      <c r="N388" s="59">
        <v>0</v>
      </c>
      <c r="O388" s="59">
        <v>0</v>
      </c>
      <c r="P388" s="59">
        <v>0</v>
      </c>
      <c r="Q388" s="59">
        <v>0</v>
      </c>
      <c r="S388" s="51" t="b">
        <f t="shared" si="99"/>
        <v>1</v>
      </c>
      <c r="U388" s="60" t="e">
        <v>#N/A</v>
      </c>
      <c r="V388" s="51" t="str">
        <f t="shared" si="100"/>
        <v>Palo Verde</v>
      </c>
      <c r="W388" s="54"/>
      <c r="X388" s="54"/>
      <c r="AC388" s="54"/>
      <c r="AG388" s="62" t="str">
        <f>IF(OR(ISNUMBER(U388),ISNUMBER(W388),ISNUMBER(#REF!),ISNUMBER(AA388),ISNUMBER(AC388)),"","Hide Row")</f>
        <v>Hide Row</v>
      </c>
    </row>
    <row r="389" spans="1:33">
      <c r="C389" s="58" t="s">
        <v>108</v>
      </c>
      <c r="D389" s="63"/>
      <c r="E389" s="59">
        <f t="shared" si="98"/>
        <v>0</v>
      </c>
      <c r="F389" s="59">
        <v>0</v>
      </c>
      <c r="G389" s="59">
        <v>0</v>
      </c>
      <c r="H389" s="59">
        <v>0</v>
      </c>
      <c r="I389" s="59">
        <v>0</v>
      </c>
      <c r="J389" s="59">
        <v>0</v>
      </c>
      <c r="K389" s="59">
        <v>0</v>
      </c>
      <c r="L389" s="59">
        <v>0</v>
      </c>
      <c r="M389" s="59">
        <v>0</v>
      </c>
      <c r="N389" s="59">
        <v>0</v>
      </c>
      <c r="O389" s="59">
        <v>0</v>
      </c>
      <c r="P389" s="59">
        <v>0</v>
      </c>
      <c r="Q389" s="59">
        <v>0</v>
      </c>
      <c r="S389" s="51" t="b">
        <f t="shared" si="99"/>
        <v>1</v>
      </c>
      <c r="U389" s="60" t="e">
        <v>#N/A</v>
      </c>
      <c r="V389" s="51" t="str">
        <f t="shared" si="100"/>
        <v>SP15</v>
      </c>
      <c r="W389" s="54"/>
      <c r="X389" s="54"/>
      <c r="AC389" s="54"/>
      <c r="AG389" s="62" t="str">
        <f>IF(OR(ISNUMBER(U389),ISNUMBER(W389),ISNUMBER(#REF!),ISNUMBER(AA389),ISNUMBER(AC389)),"","Hide Row")</f>
        <v>Hide Row</v>
      </c>
    </row>
    <row r="390" spans="1:33">
      <c r="C390" s="52" t="s">
        <v>151</v>
      </c>
      <c r="D390" s="124"/>
      <c r="E390" s="65">
        <f t="shared" si="98"/>
        <v>0</v>
      </c>
      <c r="F390" s="65">
        <v>0</v>
      </c>
      <c r="G390" s="65">
        <v>0</v>
      </c>
      <c r="H390" s="65">
        <v>0</v>
      </c>
      <c r="I390" s="65">
        <v>0</v>
      </c>
      <c r="J390" s="65">
        <v>0</v>
      </c>
      <c r="K390" s="65">
        <v>0</v>
      </c>
      <c r="L390" s="65">
        <v>0</v>
      </c>
      <c r="M390" s="65">
        <v>0</v>
      </c>
      <c r="N390" s="65">
        <v>0</v>
      </c>
      <c r="O390" s="65">
        <v>0</v>
      </c>
      <c r="P390" s="65">
        <v>0</v>
      </c>
      <c r="Q390" s="65">
        <v>0</v>
      </c>
      <c r="S390" s="51" t="b">
        <f t="shared" si="99"/>
        <v>1</v>
      </c>
      <c r="Z390" s="63" t="s">
        <v>152</v>
      </c>
      <c r="AC390" s="54"/>
      <c r="AG390" s="64"/>
    </row>
    <row r="391" spans="1:33">
      <c r="D391" s="124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V391" s="70"/>
      <c r="W391" s="70"/>
      <c r="X391" s="70"/>
      <c r="Y391" s="70"/>
      <c r="Z391" s="70"/>
      <c r="AA391" s="70"/>
      <c r="AC391" s="54"/>
    </row>
    <row r="392" spans="1:33">
      <c r="B392" s="51" t="str">
        <f>B64</f>
        <v>Total System Balancing Sales</v>
      </c>
      <c r="E392" s="66">
        <f>SUM(F392:Q392)</f>
        <v>1221778.8611000001</v>
      </c>
      <c r="F392" s="66">
        <f t="shared" ref="F392:Q392" si="103">SUM(F382:F390)</f>
        <v>59228.575400000002</v>
      </c>
      <c r="G392" s="66">
        <f t="shared" si="103"/>
        <v>48655.690799999997</v>
      </c>
      <c r="H392" s="66">
        <f t="shared" si="103"/>
        <v>42255.299899999998</v>
      </c>
      <c r="I392" s="66">
        <f t="shared" si="103"/>
        <v>157285.522</v>
      </c>
      <c r="J392" s="66">
        <f t="shared" si="103"/>
        <v>145218.67499999999</v>
      </c>
      <c r="K392" s="66">
        <f t="shared" si="103"/>
        <v>146037.65299999999</v>
      </c>
      <c r="L392" s="66">
        <f t="shared" si="103"/>
        <v>104025.64499999999</v>
      </c>
      <c r="M392" s="66">
        <f t="shared" si="103"/>
        <v>97407.626000000004</v>
      </c>
      <c r="N392" s="66">
        <f t="shared" si="103"/>
        <v>98108.448000000004</v>
      </c>
      <c r="O392" s="66">
        <f t="shared" si="103"/>
        <v>113572.10400000001</v>
      </c>
      <c r="P392" s="66">
        <f t="shared" si="103"/>
        <v>108191.04700000001</v>
      </c>
      <c r="Q392" s="66">
        <f t="shared" si="103"/>
        <v>101792.57500000001</v>
      </c>
      <c r="V392" s="70"/>
      <c r="W392" s="70"/>
      <c r="X392" s="70"/>
      <c r="Y392" s="70"/>
      <c r="Z392" s="70"/>
      <c r="AA392" s="70"/>
      <c r="AC392" s="54"/>
    </row>
    <row r="393" spans="1:33"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V393" s="125"/>
      <c r="W393" s="70"/>
      <c r="X393" s="70"/>
      <c r="Y393" s="70"/>
      <c r="Z393" s="70"/>
      <c r="AA393" s="70"/>
      <c r="AC393" s="54"/>
    </row>
    <row r="394" spans="1:33" ht="15.75">
      <c r="A394" s="56" t="str">
        <f>"Total "&amp;A335</f>
        <v>Total Special Sales For Resale</v>
      </c>
      <c r="E394" s="66">
        <f>SUM(F394:Q394)</f>
        <v>2812662.9710999997</v>
      </c>
      <c r="F394" s="66">
        <f t="shared" ref="F394:Q394" si="104">F358+F379+F392</f>
        <v>308950.02540000004</v>
      </c>
      <c r="G394" s="66">
        <f t="shared" si="104"/>
        <v>329384.41079999995</v>
      </c>
      <c r="H394" s="66">
        <f t="shared" si="104"/>
        <v>388766.44990000001</v>
      </c>
      <c r="I394" s="66">
        <f t="shared" si="104"/>
        <v>399848.25199999998</v>
      </c>
      <c r="J394" s="66">
        <f t="shared" si="104"/>
        <v>324160.33499999996</v>
      </c>
      <c r="K394" s="66">
        <f t="shared" si="104"/>
        <v>195858.783</v>
      </c>
      <c r="L394" s="66">
        <f t="shared" si="104"/>
        <v>207321.005</v>
      </c>
      <c r="M394" s="66">
        <f t="shared" si="104"/>
        <v>100620.856</v>
      </c>
      <c r="N394" s="66">
        <f t="shared" si="104"/>
        <v>98108.448000000004</v>
      </c>
      <c r="O394" s="66">
        <f t="shared" si="104"/>
        <v>113572.10400000001</v>
      </c>
      <c r="P394" s="66">
        <f t="shared" si="104"/>
        <v>137060.93700000001</v>
      </c>
      <c r="Q394" s="66">
        <f t="shared" si="104"/>
        <v>209011.36499999999</v>
      </c>
      <c r="V394" s="70">
        <f>V66</f>
        <v>0</v>
      </c>
      <c r="W394" s="70"/>
      <c r="X394" s="70"/>
      <c r="Y394" s="70"/>
      <c r="Z394" s="70" t="s">
        <v>147</v>
      </c>
      <c r="AA394" s="70"/>
      <c r="AB394" s="70" t="s">
        <v>142</v>
      </c>
      <c r="AC394" s="54"/>
    </row>
    <row r="395" spans="1:33">
      <c r="E395" s="126" t="s">
        <v>522</v>
      </c>
      <c r="F395" s="126" t="s">
        <v>522</v>
      </c>
      <c r="G395" s="126" t="s">
        <v>522</v>
      </c>
      <c r="H395" s="126" t="s">
        <v>522</v>
      </c>
      <c r="I395" s="126" t="s">
        <v>522</v>
      </c>
      <c r="J395" s="126" t="s">
        <v>522</v>
      </c>
      <c r="K395" s="126" t="s">
        <v>522</v>
      </c>
      <c r="L395" s="126" t="s">
        <v>522</v>
      </c>
      <c r="M395" s="126" t="s">
        <v>522</v>
      </c>
      <c r="N395" s="126" t="s">
        <v>522</v>
      </c>
      <c r="O395" s="126" t="s">
        <v>522</v>
      </c>
      <c r="P395" s="126" t="s">
        <v>522</v>
      </c>
      <c r="Q395" s="126" t="s">
        <v>522</v>
      </c>
      <c r="V395" s="70" t="s">
        <v>534</v>
      </c>
      <c r="W395" s="70"/>
      <c r="X395" s="70" t="s">
        <v>480</v>
      </c>
      <c r="Y395" s="70"/>
      <c r="Z395" s="70" t="s">
        <v>149</v>
      </c>
      <c r="AA395" s="70"/>
      <c r="AB395" s="70" t="s">
        <v>143</v>
      </c>
      <c r="AC395" s="54"/>
    </row>
    <row r="396" spans="1:33" ht="15.75">
      <c r="A396" s="56" t="s">
        <v>535</v>
      </c>
      <c r="E396" s="66">
        <f>SUM(F396:Q396)</f>
        <v>22832359.4571</v>
      </c>
      <c r="F396" s="66">
        <f t="shared" ref="F396:Q396" si="105">F394+F333</f>
        <v>1861002.5554</v>
      </c>
      <c r="G396" s="66">
        <f t="shared" si="105"/>
        <v>1871957.8568</v>
      </c>
      <c r="H396" s="66">
        <f t="shared" si="105"/>
        <v>1923740.5548999999</v>
      </c>
      <c r="I396" s="66">
        <f t="shared" si="105"/>
        <v>2115239.432</v>
      </c>
      <c r="J396" s="66">
        <f t="shared" si="105"/>
        <v>2019154.3149999997</v>
      </c>
      <c r="K396" s="66">
        <f t="shared" si="105"/>
        <v>1739741.0230000003</v>
      </c>
      <c r="L396" s="66">
        <f t="shared" si="105"/>
        <v>1786874.5</v>
      </c>
      <c r="M396" s="66">
        <f t="shared" si="105"/>
        <v>1783748.426</v>
      </c>
      <c r="N396" s="66">
        <f t="shared" si="105"/>
        <v>1996042.7280000001</v>
      </c>
      <c r="O396" s="66">
        <f t="shared" si="105"/>
        <v>2012404.9939999999</v>
      </c>
      <c r="P396" s="66">
        <f t="shared" si="105"/>
        <v>1828631.6769999999</v>
      </c>
      <c r="Q396" s="66">
        <f t="shared" si="105"/>
        <v>1893821.395</v>
      </c>
      <c r="V396" s="70" t="str">
        <f>V283</f>
        <v>Pipeline Currant Creek Lateral</v>
      </c>
      <c r="W396" s="70"/>
      <c r="X396" s="70" t="str">
        <f>X283</f>
        <v>Pipeline Lake Side Lateral</v>
      </c>
      <c r="Y396" s="70"/>
      <c r="Z396" s="70" t="str">
        <f>Z283</f>
        <v>Pipeline Reservation Fees</v>
      </c>
      <c r="AA396" s="70"/>
      <c r="AB396" s="70" t="str">
        <f>AB283</f>
        <v>Pipeline Southern System Expansion</v>
      </c>
      <c r="AC396" s="54"/>
      <c r="AD396" s="70" t="str">
        <f>AD283</f>
        <v>Pipeline Kern River Gas</v>
      </c>
    </row>
    <row r="397" spans="1:33">
      <c r="E397" s="126" t="s">
        <v>522</v>
      </c>
      <c r="F397" s="126" t="s">
        <v>522</v>
      </c>
      <c r="G397" s="126" t="s">
        <v>522</v>
      </c>
      <c r="H397" s="126" t="s">
        <v>522</v>
      </c>
      <c r="I397" s="126" t="s">
        <v>522</v>
      </c>
      <c r="J397" s="126" t="s">
        <v>522</v>
      </c>
      <c r="K397" s="126" t="s">
        <v>522</v>
      </c>
      <c r="L397" s="126" t="s">
        <v>522</v>
      </c>
      <c r="M397" s="126" t="s">
        <v>522</v>
      </c>
      <c r="N397" s="126" t="s">
        <v>522</v>
      </c>
      <c r="O397" s="126" t="s">
        <v>522</v>
      </c>
      <c r="P397" s="126" t="s">
        <v>522</v>
      </c>
      <c r="Q397" s="126" t="s">
        <v>522</v>
      </c>
      <c r="V397" s="70" t="s">
        <v>446</v>
      </c>
      <c r="X397" s="70" t="s">
        <v>536</v>
      </c>
      <c r="Z397" s="70" t="s">
        <v>447</v>
      </c>
      <c r="AB397" s="70" t="s">
        <v>163</v>
      </c>
      <c r="AC397" s="54"/>
      <c r="AD397" s="70" t="s">
        <v>138</v>
      </c>
    </row>
    <row r="398" spans="1:33">
      <c r="E398" s="127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V398" s="70" t="s">
        <v>483</v>
      </c>
      <c r="AB398" s="70" t="s">
        <v>165</v>
      </c>
      <c r="AC398" s="54"/>
      <c r="AD398" s="70" t="s">
        <v>141</v>
      </c>
    </row>
    <row r="399" spans="1:33" ht="15.75">
      <c r="A399" s="56" t="str">
        <f>A69</f>
        <v>Purchased Power &amp; Net Interchange</v>
      </c>
      <c r="E399" s="94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AC399" s="54"/>
    </row>
    <row r="400" spans="1:33">
      <c r="B400" s="51" t="str">
        <f>B70</f>
        <v>Long Term Firm Purchases</v>
      </c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U400" s="41" t="s">
        <v>531</v>
      </c>
      <c r="AA400" s="41"/>
      <c r="AC400" s="54"/>
    </row>
    <row r="401" spans="3:33">
      <c r="C401" s="58" t="s">
        <v>168</v>
      </c>
      <c r="E401" s="59">
        <f t="shared" ref="E401:E434" si="106">SUM(F401:Q401)</f>
        <v>0</v>
      </c>
      <c r="F401" s="59">
        <v>0</v>
      </c>
      <c r="G401" s="59">
        <v>0</v>
      </c>
      <c r="H401" s="59">
        <v>0</v>
      </c>
      <c r="I401" s="59">
        <v>0</v>
      </c>
      <c r="J401" s="59">
        <v>0</v>
      </c>
      <c r="K401" s="59">
        <v>0</v>
      </c>
      <c r="L401" s="59">
        <v>0</v>
      </c>
      <c r="M401" s="59">
        <v>0</v>
      </c>
      <c r="N401" s="59">
        <v>0</v>
      </c>
      <c r="O401" s="59">
        <v>0</v>
      </c>
      <c r="P401" s="59">
        <v>0</v>
      </c>
      <c r="Q401" s="59">
        <v>0</v>
      </c>
      <c r="S401" s="51" t="b">
        <f t="shared" ref="S401:S438" si="107">C71=C401</f>
        <v>1</v>
      </c>
      <c r="U401" s="60" t="e">
        <v>#N/A</v>
      </c>
      <c r="V401" s="51" t="str">
        <f>V71</f>
        <v>APS Supplemental Purchase coal</v>
      </c>
      <c r="W401" s="60" t="e">
        <v>#N/A</v>
      </c>
      <c r="X401" s="51" t="str">
        <f>X71</f>
        <v>APS Supplemental Purchase other</v>
      </c>
      <c r="Y401" s="60"/>
      <c r="AA401" s="60"/>
      <c r="AC401" s="54"/>
      <c r="AG401" s="62" t="str">
        <f t="shared" ref="AG401:AG434" si="108">IF(OR(ISNUMBER(U401),ISNUMBER(W401),ISNUMBER(Y401),ISNUMBER(AA401),ISNUMBER(AC401)),"","Hide Row")</f>
        <v>Hide Row</v>
      </c>
    </row>
    <row r="402" spans="3:33" hidden="1">
      <c r="C402" s="58" t="s">
        <v>171</v>
      </c>
      <c r="E402" s="59">
        <f t="shared" si="106"/>
        <v>0</v>
      </c>
      <c r="F402" s="59">
        <v>0</v>
      </c>
      <c r="G402" s="59">
        <v>0</v>
      </c>
      <c r="H402" s="59">
        <v>0</v>
      </c>
      <c r="I402" s="59">
        <v>0</v>
      </c>
      <c r="J402" s="59">
        <v>0</v>
      </c>
      <c r="K402" s="59">
        <v>0</v>
      </c>
      <c r="L402" s="59">
        <v>0</v>
      </c>
      <c r="M402" s="59">
        <v>0</v>
      </c>
      <c r="N402" s="59">
        <v>0</v>
      </c>
      <c r="O402" s="59">
        <v>0</v>
      </c>
      <c r="P402" s="59">
        <v>0</v>
      </c>
      <c r="Q402" s="59">
        <v>0</v>
      </c>
      <c r="S402" s="51" t="b">
        <f t="shared" si="107"/>
        <v>1</v>
      </c>
      <c r="U402" s="60" t="e">
        <v>#N/A</v>
      </c>
      <c r="V402" s="51" t="str">
        <f>V72</f>
        <v>Avoided Cost Resource</v>
      </c>
      <c r="W402" s="60"/>
      <c r="Y402" s="60"/>
      <c r="AA402" s="60"/>
      <c r="AC402" s="54"/>
      <c r="AG402" s="62" t="str">
        <f t="shared" si="108"/>
        <v>Hide Row</v>
      </c>
    </row>
    <row r="403" spans="3:33" hidden="1">
      <c r="C403" s="58" t="s">
        <v>172</v>
      </c>
      <c r="E403" s="59">
        <f t="shared" si="106"/>
        <v>0</v>
      </c>
      <c r="F403" s="59">
        <v>0</v>
      </c>
      <c r="G403" s="59">
        <v>0</v>
      </c>
      <c r="H403" s="59">
        <v>0</v>
      </c>
      <c r="I403" s="59">
        <v>0</v>
      </c>
      <c r="J403" s="59">
        <v>0</v>
      </c>
      <c r="K403" s="59">
        <v>0</v>
      </c>
      <c r="L403" s="59">
        <v>0</v>
      </c>
      <c r="M403" s="59">
        <v>0</v>
      </c>
      <c r="N403" s="59">
        <v>0</v>
      </c>
      <c r="O403" s="59">
        <v>0</v>
      </c>
      <c r="P403" s="59">
        <v>0</v>
      </c>
      <c r="Q403" s="59">
        <v>0</v>
      </c>
      <c r="S403" s="51" t="b">
        <f t="shared" si="107"/>
        <v>1</v>
      </c>
      <c r="U403" s="60" t="e">
        <v>#N/A</v>
      </c>
      <c r="V403" s="51" t="str">
        <f>V73</f>
        <v>Blanding Purchase</v>
      </c>
      <c r="W403" s="60"/>
      <c r="Y403" s="60"/>
      <c r="AA403" s="60"/>
      <c r="AC403" s="54"/>
      <c r="AG403" s="62" t="str">
        <f t="shared" si="108"/>
        <v>Hide Row</v>
      </c>
    </row>
    <row r="404" spans="3:33" hidden="1">
      <c r="C404" s="58" t="s">
        <v>174</v>
      </c>
      <c r="E404" s="59">
        <f t="shared" ref="E404" si="109">SUM(F404:Q404)</f>
        <v>0</v>
      </c>
      <c r="F404" s="59">
        <v>0</v>
      </c>
      <c r="G404" s="59">
        <v>0</v>
      </c>
      <c r="H404" s="59">
        <v>0</v>
      </c>
      <c r="I404" s="59">
        <v>0</v>
      </c>
      <c r="J404" s="59">
        <v>0</v>
      </c>
      <c r="K404" s="59">
        <v>0</v>
      </c>
      <c r="L404" s="59">
        <v>0</v>
      </c>
      <c r="M404" s="59">
        <v>0</v>
      </c>
      <c r="N404" s="59">
        <v>0</v>
      </c>
      <c r="O404" s="59">
        <v>0</v>
      </c>
      <c r="P404" s="59">
        <v>0</v>
      </c>
      <c r="Q404" s="59">
        <v>0</v>
      </c>
      <c r="S404" s="51" t="b">
        <f t="shared" si="107"/>
        <v>1</v>
      </c>
      <c r="U404" s="51" t="e">
        <v>#N/A</v>
      </c>
      <c r="V404" s="51" t="s">
        <v>537</v>
      </c>
      <c r="W404" s="60"/>
      <c r="Y404" s="60"/>
      <c r="AA404" s="60"/>
      <c r="AC404" s="54"/>
      <c r="AG404" s="62" t="str">
        <f t="shared" si="108"/>
        <v>Hide Row</v>
      </c>
    </row>
    <row r="405" spans="3:33" hidden="1">
      <c r="C405" s="58" t="s">
        <v>177</v>
      </c>
      <c r="E405" s="59">
        <f>SUM(F405:Q405)</f>
        <v>0</v>
      </c>
      <c r="F405" s="59">
        <v>0</v>
      </c>
      <c r="G405" s="59">
        <v>0</v>
      </c>
      <c r="H405" s="59">
        <v>0</v>
      </c>
      <c r="I405" s="59">
        <v>0</v>
      </c>
      <c r="J405" s="59">
        <v>0</v>
      </c>
      <c r="K405" s="59">
        <v>0</v>
      </c>
      <c r="L405" s="59">
        <v>0</v>
      </c>
      <c r="M405" s="59">
        <v>0</v>
      </c>
      <c r="N405" s="59">
        <v>0</v>
      </c>
      <c r="O405" s="59">
        <v>0</v>
      </c>
      <c r="P405" s="59">
        <v>0</v>
      </c>
      <c r="Q405" s="59">
        <v>0</v>
      </c>
      <c r="S405" s="51" t="b">
        <f t="shared" si="107"/>
        <v>1</v>
      </c>
      <c r="U405" s="60" t="e">
        <v>#N/A</v>
      </c>
      <c r="V405" s="64" t="str">
        <f t="shared" ref="V405:V414" si="110">V75</f>
        <v>Chehalis Station Service</v>
      </c>
      <c r="W405" s="60"/>
      <c r="X405" s="64"/>
      <c r="Y405" s="60"/>
      <c r="Z405" s="64"/>
      <c r="AA405" s="60"/>
      <c r="AC405" s="54"/>
      <c r="AG405" s="62" t="str">
        <f t="shared" si="108"/>
        <v>Hide Row</v>
      </c>
    </row>
    <row r="406" spans="3:33">
      <c r="C406" s="58" t="s">
        <v>178</v>
      </c>
      <c r="E406" s="59">
        <f t="shared" si="106"/>
        <v>111750.85207048099</v>
      </c>
      <c r="F406" s="59">
        <v>8676.5401856999997</v>
      </c>
      <c r="G406" s="59">
        <v>8065.333417631</v>
      </c>
      <c r="H406" s="59">
        <v>9720.0000338699992</v>
      </c>
      <c r="I406" s="59">
        <v>9316.9998783600004</v>
      </c>
      <c r="J406" s="59">
        <v>9239.6664086000001</v>
      </c>
      <c r="K406" s="59">
        <v>8806.0001262000005</v>
      </c>
      <c r="L406" s="59">
        <v>9455.4272014399994</v>
      </c>
      <c r="M406" s="59">
        <v>10547.333349299999</v>
      </c>
      <c r="N406" s="59">
        <v>7685.6666231899999</v>
      </c>
      <c r="O406" s="59">
        <v>10686.00004232</v>
      </c>
      <c r="P406" s="59">
        <v>7196.2181833200002</v>
      </c>
      <c r="Q406" s="59">
        <v>12355.666620550001</v>
      </c>
      <c r="S406" s="51" t="b">
        <f t="shared" si="107"/>
        <v>1</v>
      </c>
      <c r="U406" s="60">
        <v>2</v>
      </c>
      <c r="V406" s="51" t="str">
        <f t="shared" si="110"/>
        <v>Combine Hills</v>
      </c>
      <c r="W406" s="60"/>
      <c r="Y406" s="60"/>
      <c r="AA406" s="60"/>
      <c r="AC406" s="54"/>
      <c r="AG406" s="62" t="str">
        <f t="shared" si="108"/>
        <v/>
      </c>
    </row>
    <row r="407" spans="3:33" hidden="1">
      <c r="C407" s="58">
        <v>0</v>
      </c>
      <c r="E407" s="59">
        <f t="shared" si="106"/>
        <v>0</v>
      </c>
      <c r="F407" s="59">
        <v>0</v>
      </c>
      <c r="G407" s="59">
        <v>0</v>
      </c>
      <c r="H407" s="59">
        <v>0</v>
      </c>
      <c r="I407" s="59">
        <v>0</v>
      </c>
      <c r="J407" s="59">
        <v>0</v>
      </c>
      <c r="K407" s="59">
        <v>0</v>
      </c>
      <c r="L407" s="59">
        <v>0</v>
      </c>
      <c r="M407" s="59">
        <v>0</v>
      </c>
      <c r="N407" s="59">
        <v>0</v>
      </c>
      <c r="O407" s="59">
        <v>0</v>
      </c>
      <c r="P407" s="59">
        <v>0</v>
      </c>
      <c r="Q407" s="59">
        <v>0</v>
      </c>
      <c r="S407" s="51" t="b">
        <f t="shared" si="107"/>
        <v>1</v>
      </c>
      <c r="U407" s="60" t="e">
        <v>#N/A</v>
      </c>
      <c r="V407" s="51">
        <f t="shared" si="110"/>
        <v>0</v>
      </c>
      <c r="W407" s="60"/>
      <c r="Y407" s="60"/>
      <c r="AA407" s="60"/>
      <c r="AC407" s="54"/>
      <c r="AG407" s="62" t="str">
        <f t="shared" si="108"/>
        <v>Hide Row</v>
      </c>
    </row>
    <row r="408" spans="3:33" hidden="1">
      <c r="C408" s="58">
        <v>0</v>
      </c>
      <c r="E408" s="59">
        <f t="shared" si="106"/>
        <v>0</v>
      </c>
      <c r="F408" s="59">
        <v>0</v>
      </c>
      <c r="G408" s="59">
        <v>0</v>
      </c>
      <c r="H408" s="59">
        <v>0</v>
      </c>
      <c r="I408" s="59">
        <v>0</v>
      </c>
      <c r="J408" s="59">
        <v>0</v>
      </c>
      <c r="K408" s="59">
        <v>0</v>
      </c>
      <c r="L408" s="59">
        <v>0</v>
      </c>
      <c r="M408" s="59">
        <v>0</v>
      </c>
      <c r="N408" s="59">
        <v>0</v>
      </c>
      <c r="O408" s="59">
        <v>0</v>
      </c>
      <c r="P408" s="59">
        <v>0</v>
      </c>
      <c r="Q408" s="59">
        <v>0</v>
      </c>
      <c r="S408" s="51" t="b">
        <f t="shared" si="107"/>
        <v>1</v>
      </c>
      <c r="U408" s="60" t="e">
        <v>#N/A</v>
      </c>
      <c r="V408" s="51">
        <f t="shared" si="110"/>
        <v>0</v>
      </c>
      <c r="W408" s="60"/>
      <c r="Y408" s="60"/>
      <c r="AA408" s="60"/>
      <c r="AC408" s="54"/>
      <c r="AG408" s="62" t="str">
        <f t="shared" si="108"/>
        <v>Hide Row</v>
      </c>
    </row>
    <row r="409" spans="3:33" hidden="1">
      <c r="C409" s="58">
        <v>0</v>
      </c>
      <c r="E409" s="59">
        <f t="shared" si="106"/>
        <v>0</v>
      </c>
      <c r="F409" s="59">
        <v>0</v>
      </c>
      <c r="G409" s="59">
        <v>0</v>
      </c>
      <c r="H409" s="59">
        <v>0</v>
      </c>
      <c r="I409" s="59">
        <v>0</v>
      </c>
      <c r="J409" s="59">
        <v>0</v>
      </c>
      <c r="K409" s="59">
        <v>0</v>
      </c>
      <c r="L409" s="59">
        <v>0</v>
      </c>
      <c r="M409" s="59">
        <v>0</v>
      </c>
      <c r="N409" s="59">
        <v>0</v>
      </c>
      <c r="O409" s="59">
        <v>0</v>
      </c>
      <c r="P409" s="59">
        <v>0</v>
      </c>
      <c r="Q409" s="59">
        <v>0</v>
      </c>
      <c r="S409" s="51" t="b">
        <f t="shared" si="107"/>
        <v>1</v>
      </c>
      <c r="U409" s="60" t="e">
        <v>#N/A</v>
      </c>
      <c r="V409" s="51">
        <f t="shared" si="110"/>
        <v>0</v>
      </c>
      <c r="W409" s="60"/>
      <c r="Y409" s="60"/>
      <c r="AA409" s="60"/>
      <c r="AC409" s="54"/>
      <c r="AG409" s="62" t="str">
        <f t="shared" si="108"/>
        <v>Hide Row</v>
      </c>
    </row>
    <row r="410" spans="3:33">
      <c r="C410" s="58" t="s">
        <v>180</v>
      </c>
      <c r="E410" s="59">
        <f t="shared" si="106"/>
        <v>0</v>
      </c>
      <c r="F410" s="59">
        <v>0</v>
      </c>
      <c r="G410" s="59">
        <v>0</v>
      </c>
      <c r="H410" s="59">
        <v>0</v>
      </c>
      <c r="I410" s="59">
        <v>0</v>
      </c>
      <c r="J410" s="59">
        <v>0</v>
      </c>
      <c r="K410" s="59">
        <v>0</v>
      </c>
      <c r="L410" s="59">
        <v>0</v>
      </c>
      <c r="M410" s="59">
        <v>0</v>
      </c>
      <c r="N410" s="59">
        <v>0</v>
      </c>
      <c r="O410" s="59">
        <v>0</v>
      </c>
      <c r="P410" s="59">
        <v>0</v>
      </c>
      <c r="Q410" s="59">
        <v>0</v>
      </c>
      <c r="S410" s="51" t="b">
        <f t="shared" si="107"/>
        <v>1</v>
      </c>
      <c r="U410" s="60" t="e">
        <v>#N/A</v>
      </c>
      <c r="V410" s="51" t="str">
        <f t="shared" si="110"/>
        <v>Deseret Purchase</v>
      </c>
      <c r="W410" s="60" t="e">
        <v>#N/A</v>
      </c>
      <c r="X410" s="70" t="str">
        <f>X80</f>
        <v>Deseret G&amp;T Expansion</v>
      </c>
      <c r="Y410" s="60"/>
      <c r="Z410" s="70"/>
      <c r="AA410" s="60"/>
      <c r="AB410" s="70"/>
      <c r="AC410" s="54"/>
      <c r="AG410" s="62" t="str">
        <f t="shared" si="108"/>
        <v>Hide Row</v>
      </c>
    </row>
    <row r="411" spans="3:33">
      <c r="C411" s="58" t="s">
        <v>183</v>
      </c>
      <c r="E411" s="59">
        <f t="shared" si="106"/>
        <v>66534.400000000009</v>
      </c>
      <c r="F411" s="59">
        <v>7982.4</v>
      </c>
      <c r="G411" s="59">
        <v>10224</v>
      </c>
      <c r="H411" s="59">
        <v>11064</v>
      </c>
      <c r="I411" s="59">
        <v>9100.7999999999993</v>
      </c>
      <c r="J411" s="59">
        <v>7018.4</v>
      </c>
      <c r="K411" s="59">
        <v>3048</v>
      </c>
      <c r="L411" s="59">
        <v>2808</v>
      </c>
      <c r="M411" s="59">
        <v>2721.6</v>
      </c>
      <c r="N411" s="59">
        <v>2844.8</v>
      </c>
      <c r="O411" s="59">
        <v>2856</v>
      </c>
      <c r="P411" s="59">
        <v>2656.8</v>
      </c>
      <c r="Q411" s="59">
        <v>4209.6000000000004</v>
      </c>
      <c r="S411" s="51" t="b">
        <f t="shared" si="107"/>
        <v>1</v>
      </c>
      <c r="U411" s="60">
        <v>4</v>
      </c>
      <c r="V411" s="51" t="str">
        <f t="shared" si="110"/>
        <v>Douglas PUD Settlement</v>
      </c>
      <c r="W411" s="60"/>
      <c r="Y411" s="60"/>
      <c r="AA411" s="60"/>
      <c r="AC411" s="54"/>
      <c r="AG411" s="62" t="str">
        <f t="shared" si="108"/>
        <v/>
      </c>
    </row>
    <row r="412" spans="3:33">
      <c r="C412" s="58" t="s">
        <v>185</v>
      </c>
      <c r="E412" s="59">
        <f t="shared" si="106"/>
        <v>0</v>
      </c>
      <c r="F412" s="59">
        <v>0</v>
      </c>
      <c r="G412" s="59">
        <v>0</v>
      </c>
      <c r="H412" s="59">
        <v>0</v>
      </c>
      <c r="I412" s="59">
        <v>0</v>
      </c>
      <c r="J412" s="59">
        <v>0</v>
      </c>
      <c r="K412" s="59">
        <v>0</v>
      </c>
      <c r="L412" s="59">
        <v>0</v>
      </c>
      <c r="M412" s="59">
        <v>0</v>
      </c>
      <c r="N412" s="59">
        <v>0</v>
      </c>
      <c r="O412" s="59">
        <v>0</v>
      </c>
      <c r="P412" s="59">
        <v>0</v>
      </c>
      <c r="Q412" s="59">
        <v>0</v>
      </c>
      <c r="S412" s="51" t="b">
        <f t="shared" si="107"/>
        <v>1</v>
      </c>
      <c r="U412" s="60" t="e">
        <v>#N/A</v>
      </c>
      <c r="V412" s="51" t="str">
        <f t="shared" si="110"/>
        <v>Gem State (City of Idaho Falls)</v>
      </c>
      <c r="W412" s="60" t="e">
        <v>#N/A</v>
      </c>
      <c r="X412" s="70" t="str">
        <f>X82</f>
        <v>Gem State Power Cost</v>
      </c>
      <c r="Y412" s="60"/>
      <c r="Z412" s="70"/>
      <c r="AA412" s="60"/>
      <c r="AC412" s="54"/>
      <c r="AG412" s="62" t="str">
        <f t="shared" si="108"/>
        <v>Hide Row</v>
      </c>
    </row>
    <row r="413" spans="3:33">
      <c r="C413" s="58" t="s">
        <v>188</v>
      </c>
      <c r="E413" s="59">
        <f t="shared" si="106"/>
        <v>46779.381000000001</v>
      </c>
      <c r="F413" s="59">
        <v>5103.2052000000003</v>
      </c>
      <c r="G413" s="59">
        <v>5273.3120399999998</v>
      </c>
      <c r="H413" s="59">
        <v>5103.2052000000003</v>
      </c>
      <c r="I413" s="59">
        <v>5273.3120399999998</v>
      </c>
      <c r="J413" s="59">
        <v>5273.3120399999998</v>
      </c>
      <c r="K413" s="59">
        <v>5103.2052000000003</v>
      </c>
      <c r="L413" s="59">
        <v>5273.3120399999998</v>
      </c>
      <c r="M413" s="59">
        <v>5103.2052000000003</v>
      </c>
      <c r="N413" s="59">
        <v>5273.3120399999998</v>
      </c>
      <c r="O413" s="59">
        <v>0</v>
      </c>
      <c r="P413" s="59">
        <v>0</v>
      </c>
      <c r="Q413" s="59">
        <v>0</v>
      </c>
      <c r="S413" s="51" t="b">
        <f t="shared" si="107"/>
        <v>1</v>
      </c>
      <c r="U413" s="60">
        <v>6</v>
      </c>
      <c r="V413" s="51" t="str">
        <f t="shared" si="110"/>
        <v>Fort James (CoGen)</v>
      </c>
      <c r="W413" s="60"/>
      <c r="Y413" s="60"/>
      <c r="AA413" s="60"/>
      <c r="AC413" s="54"/>
      <c r="AG413" s="62" t="str">
        <f t="shared" si="108"/>
        <v/>
      </c>
    </row>
    <row r="414" spans="3:33" hidden="1">
      <c r="C414" s="58" t="s">
        <v>190</v>
      </c>
      <c r="E414" s="59">
        <f t="shared" si="106"/>
        <v>0</v>
      </c>
      <c r="F414" s="59">
        <v>0</v>
      </c>
      <c r="G414" s="59">
        <v>0</v>
      </c>
      <c r="H414" s="59">
        <v>0</v>
      </c>
      <c r="I414" s="59">
        <v>0</v>
      </c>
      <c r="J414" s="59">
        <v>0</v>
      </c>
      <c r="K414" s="59">
        <v>0</v>
      </c>
      <c r="L414" s="59">
        <v>0</v>
      </c>
      <c r="M414" s="59">
        <v>0</v>
      </c>
      <c r="N414" s="59">
        <v>0</v>
      </c>
      <c r="O414" s="59">
        <v>0</v>
      </c>
      <c r="P414" s="59">
        <v>0</v>
      </c>
      <c r="Q414" s="59">
        <v>0</v>
      </c>
      <c r="S414" s="51" t="b">
        <f t="shared" si="107"/>
        <v>1</v>
      </c>
      <c r="U414" s="60" t="e">
        <v>#N/A</v>
      </c>
      <c r="V414" s="51" t="str">
        <f t="shared" si="110"/>
        <v>Grant County</v>
      </c>
      <c r="W414" s="60"/>
      <c r="Y414" s="60"/>
      <c r="AA414" s="60"/>
      <c r="AC414" s="54"/>
      <c r="AG414" s="62" t="str">
        <f t="shared" si="108"/>
        <v>Hide Row</v>
      </c>
    </row>
    <row r="415" spans="3:33">
      <c r="C415" s="58" t="s">
        <v>192</v>
      </c>
      <c r="E415" s="59">
        <f t="shared" si="106"/>
        <v>1225255.4639699999</v>
      </c>
      <c r="F415" s="66">
        <f t="shared" ref="F415:Q415" si="111">F593</f>
        <v>90246.187444999989</v>
      </c>
      <c r="G415" s="66">
        <f t="shared" si="111"/>
        <v>26063.441180000002</v>
      </c>
      <c r="H415" s="66">
        <f t="shared" si="111"/>
        <v>2179.11</v>
      </c>
      <c r="I415" s="66">
        <f t="shared" si="111"/>
        <v>126526.858095</v>
      </c>
      <c r="J415" s="66">
        <f t="shared" si="111"/>
        <v>137762.64601500001</v>
      </c>
      <c r="K415" s="66">
        <f t="shared" si="111"/>
        <v>112628.41706499999</v>
      </c>
      <c r="L415" s="66">
        <f t="shared" si="111"/>
        <v>142550.29235500001</v>
      </c>
      <c r="M415" s="66">
        <f t="shared" si="111"/>
        <v>123678.466935</v>
      </c>
      <c r="N415" s="66">
        <f t="shared" si="111"/>
        <v>127279.72877</v>
      </c>
      <c r="O415" s="66">
        <f t="shared" si="111"/>
        <v>123453.83079499999</v>
      </c>
      <c r="P415" s="66">
        <f t="shared" si="111"/>
        <v>107871.707375</v>
      </c>
      <c r="Q415" s="66">
        <f t="shared" si="111"/>
        <v>105014.77794</v>
      </c>
      <c r="S415" s="51" t="b">
        <f t="shared" si="107"/>
        <v>1</v>
      </c>
      <c r="U415" s="60"/>
      <c r="W415" s="60"/>
      <c r="Y415" s="60"/>
      <c r="AA415" s="60"/>
      <c r="AC415" s="54"/>
      <c r="AG415" s="64"/>
    </row>
    <row r="416" spans="3:33">
      <c r="C416" s="58" t="s">
        <v>196</v>
      </c>
      <c r="E416" s="59">
        <f t="shared" si="106"/>
        <v>0</v>
      </c>
      <c r="F416" s="59">
        <v>0</v>
      </c>
      <c r="G416" s="59">
        <v>0</v>
      </c>
      <c r="H416" s="59">
        <v>0</v>
      </c>
      <c r="I416" s="59">
        <v>0</v>
      </c>
      <c r="J416" s="59">
        <v>0</v>
      </c>
      <c r="K416" s="59">
        <v>0</v>
      </c>
      <c r="L416" s="59">
        <v>0</v>
      </c>
      <c r="M416" s="59">
        <v>0</v>
      </c>
      <c r="N416" s="59">
        <v>0</v>
      </c>
      <c r="O416" s="59">
        <v>0</v>
      </c>
      <c r="P416" s="59">
        <v>0</v>
      </c>
      <c r="Q416" s="59">
        <v>0</v>
      </c>
      <c r="S416" s="51" t="b">
        <f t="shared" si="107"/>
        <v>1</v>
      </c>
      <c r="U416" s="60" t="e">
        <v>#N/A</v>
      </c>
      <c r="V416" s="51" t="str">
        <f t="shared" ref="V416:V438" si="112">V86</f>
        <v>Hurricane Purchase</v>
      </c>
      <c r="W416" s="60"/>
      <c r="Y416" s="60"/>
      <c r="AA416" s="60"/>
      <c r="AC416" s="54"/>
      <c r="AG416" s="62" t="str">
        <f t="shared" si="108"/>
        <v>Hide Row</v>
      </c>
    </row>
    <row r="417" spans="3:33" hidden="1">
      <c r="C417" s="58" t="s">
        <v>198</v>
      </c>
      <c r="E417" s="59">
        <f t="shared" si="106"/>
        <v>0</v>
      </c>
      <c r="F417" s="59">
        <v>0</v>
      </c>
      <c r="G417" s="59">
        <v>0</v>
      </c>
      <c r="H417" s="59">
        <v>0</v>
      </c>
      <c r="I417" s="59">
        <v>0</v>
      </c>
      <c r="J417" s="59">
        <v>0</v>
      </c>
      <c r="K417" s="59">
        <v>0</v>
      </c>
      <c r="L417" s="59">
        <v>0</v>
      </c>
      <c r="M417" s="59">
        <v>0</v>
      </c>
      <c r="N417" s="59">
        <v>0</v>
      </c>
      <c r="O417" s="59">
        <v>0</v>
      </c>
      <c r="P417" s="59">
        <v>0</v>
      </c>
      <c r="Q417" s="59">
        <v>0</v>
      </c>
      <c r="S417" s="51" t="b">
        <f t="shared" si="107"/>
        <v>1</v>
      </c>
      <c r="U417" s="60" t="e">
        <v>#N/A</v>
      </c>
      <c r="V417" s="51" t="str">
        <f t="shared" si="112"/>
        <v>Idaho Power P278538</v>
      </c>
      <c r="W417" s="60" t="e">
        <v>#N/A</v>
      </c>
      <c r="X417" s="51" t="str">
        <f>X87</f>
        <v>Idaho Power RTSA Purchase</v>
      </c>
      <c r="Y417" s="60" t="e">
        <v>#N/A</v>
      </c>
      <c r="Z417" s="51" t="str">
        <f>Z87</f>
        <v>Idaho Power P278538 HLH</v>
      </c>
      <c r="AA417" s="60"/>
      <c r="AB417" s="51" t="str">
        <f>AB87</f>
        <v>Idaho Power P278538 LLH</v>
      </c>
      <c r="AC417" s="54"/>
      <c r="AG417" s="62" t="str">
        <f t="shared" si="108"/>
        <v>Hide Row</v>
      </c>
    </row>
    <row r="418" spans="3:33">
      <c r="C418" s="58" t="s">
        <v>203</v>
      </c>
      <c r="E418" s="59">
        <f t="shared" si="106"/>
        <v>0</v>
      </c>
      <c r="F418" s="59">
        <v>0</v>
      </c>
      <c r="G418" s="59">
        <v>0</v>
      </c>
      <c r="H418" s="59">
        <v>0</v>
      </c>
      <c r="I418" s="59">
        <v>0</v>
      </c>
      <c r="J418" s="59">
        <v>0</v>
      </c>
      <c r="K418" s="59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0</v>
      </c>
      <c r="Q418" s="59">
        <v>0</v>
      </c>
      <c r="S418" s="51" t="b">
        <f t="shared" si="107"/>
        <v>1</v>
      </c>
      <c r="U418" s="60" t="e">
        <v>#N/A</v>
      </c>
      <c r="V418" s="51" t="str">
        <f t="shared" si="112"/>
        <v>IPP Purchase</v>
      </c>
      <c r="W418" s="60"/>
      <c r="Y418" s="60"/>
      <c r="Z418" s="77"/>
      <c r="AA418" s="60"/>
      <c r="AB418" s="77"/>
      <c r="AC418" s="54"/>
      <c r="AG418" s="62" t="str">
        <f t="shared" si="108"/>
        <v>Hide Row</v>
      </c>
    </row>
    <row r="419" spans="3:33" hidden="1">
      <c r="C419" s="58" t="s">
        <v>204</v>
      </c>
      <c r="E419" s="59">
        <f t="shared" si="106"/>
        <v>0</v>
      </c>
      <c r="F419" s="59">
        <v>0</v>
      </c>
      <c r="G419" s="59">
        <v>0</v>
      </c>
      <c r="H419" s="59">
        <v>0</v>
      </c>
      <c r="I419" s="59">
        <v>0</v>
      </c>
      <c r="J419" s="59">
        <v>0</v>
      </c>
      <c r="K419" s="59">
        <v>0</v>
      </c>
      <c r="L419" s="59">
        <v>0</v>
      </c>
      <c r="M419" s="59">
        <v>0</v>
      </c>
      <c r="N419" s="59">
        <v>0</v>
      </c>
      <c r="O419" s="59">
        <v>0</v>
      </c>
      <c r="P419" s="59">
        <v>0</v>
      </c>
      <c r="Q419" s="59">
        <v>0</v>
      </c>
      <c r="S419" s="51" t="b">
        <f t="shared" si="107"/>
        <v>1</v>
      </c>
      <c r="U419" s="60"/>
      <c r="V419" s="70" t="str">
        <f t="shared" si="112"/>
        <v>Kennecott Incentive</v>
      </c>
      <c r="W419" s="60"/>
      <c r="X419" s="125" t="s">
        <v>206</v>
      </c>
      <c r="Y419" s="60"/>
      <c r="AA419" s="60"/>
      <c r="AB419" s="70" t="str">
        <f>AB89</f>
        <v>Kennecott Coal Non-Owned</v>
      </c>
      <c r="AC419" s="54"/>
      <c r="AG419" s="62" t="str">
        <f t="shared" si="108"/>
        <v>Hide Row</v>
      </c>
    </row>
    <row r="420" spans="3:33" hidden="1">
      <c r="C420" s="58" t="s">
        <v>208</v>
      </c>
      <c r="E420" s="59">
        <f t="shared" si="106"/>
        <v>0</v>
      </c>
      <c r="F420" s="59">
        <v>0</v>
      </c>
      <c r="G420" s="59">
        <v>0</v>
      </c>
      <c r="H420" s="59">
        <v>0</v>
      </c>
      <c r="I420" s="59">
        <v>0</v>
      </c>
      <c r="J420" s="59">
        <v>0</v>
      </c>
      <c r="K420" s="59">
        <v>0</v>
      </c>
      <c r="L420" s="59">
        <v>0</v>
      </c>
      <c r="M420" s="59">
        <v>0</v>
      </c>
      <c r="N420" s="59">
        <v>0</v>
      </c>
      <c r="O420" s="59">
        <v>0</v>
      </c>
      <c r="P420" s="59">
        <v>0</v>
      </c>
      <c r="Q420" s="59">
        <v>0</v>
      </c>
      <c r="S420" s="51" t="b">
        <f t="shared" si="107"/>
        <v>1</v>
      </c>
      <c r="U420" s="60" t="e">
        <v>#N/A</v>
      </c>
      <c r="V420" s="51" t="str">
        <f t="shared" si="112"/>
        <v>LADWP p491304</v>
      </c>
      <c r="W420" s="60" t="e">
        <v>#N/A</v>
      </c>
      <c r="X420" s="51" t="str">
        <f>X90</f>
        <v>LADWP s491304</v>
      </c>
      <c r="Y420" s="60" t="e">
        <v>#N/A</v>
      </c>
      <c r="Z420" s="51" t="str">
        <f>Z90</f>
        <v>LADWP p491303</v>
      </c>
      <c r="AA420" s="60" t="e">
        <v>#N/A</v>
      </c>
      <c r="AB420" s="51" t="str">
        <f>AB90</f>
        <v>LADWP s491303</v>
      </c>
      <c r="AC420" s="60" t="e">
        <v>#N/A</v>
      </c>
      <c r="AD420" s="51">
        <f>AD90</f>
        <v>0</v>
      </c>
      <c r="AE420" s="60" t="e">
        <v>#N/A</v>
      </c>
      <c r="AF420" s="51">
        <f>AF90</f>
        <v>0</v>
      </c>
      <c r="AG420" s="62" t="str">
        <f t="shared" si="108"/>
        <v>Hide Row</v>
      </c>
    </row>
    <row r="421" spans="3:33" hidden="1">
      <c r="C421" s="58" t="s">
        <v>213</v>
      </c>
      <c r="E421" s="59">
        <f t="shared" si="106"/>
        <v>0</v>
      </c>
      <c r="F421" s="59">
        <v>0</v>
      </c>
      <c r="G421" s="59">
        <v>0</v>
      </c>
      <c r="H421" s="59">
        <v>0</v>
      </c>
      <c r="I421" s="59">
        <v>0</v>
      </c>
      <c r="J421" s="59">
        <v>0</v>
      </c>
      <c r="K421" s="59">
        <v>0</v>
      </c>
      <c r="L421" s="59">
        <v>0</v>
      </c>
      <c r="M421" s="59">
        <v>0</v>
      </c>
      <c r="N421" s="59">
        <v>0</v>
      </c>
      <c r="O421" s="59">
        <v>0</v>
      </c>
      <c r="P421" s="59">
        <v>0</v>
      </c>
      <c r="Q421" s="59">
        <v>0</v>
      </c>
      <c r="S421" s="51" t="b">
        <f t="shared" si="107"/>
        <v>1</v>
      </c>
      <c r="U421" s="60"/>
      <c r="V421" s="51" t="str">
        <f t="shared" si="112"/>
        <v>MagCorp Buythrough</v>
      </c>
      <c r="W421" s="60"/>
      <c r="X421" s="51" t="str">
        <f>X91</f>
        <v>MagCorp Buythrough Winter</v>
      </c>
      <c r="Y421" s="60"/>
      <c r="AA421" s="60"/>
      <c r="AC421" s="54"/>
      <c r="AG421" s="62" t="str">
        <f t="shared" si="108"/>
        <v>Hide Row</v>
      </c>
    </row>
    <row r="422" spans="3:33">
      <c r="C422" s="58" t="s">
        <v>218</v>
      </c>
      <c r="E422" s="59">
        <f t="shared" si="106"/>
        <v>0</v>
      </c>
      <c r="F422" s="59">
        <v>0</v>
      </c>
      <c r="G422" s="59">
        <v>0</v>
      </c>
      <c r="H422" s="59">
        <v>0</v>
      </c>
      <c r="I422" s="59">
        <v>0</v>
      </c>
      <c r="J422" s="59">
        <v>0</v>
      </c>
      <c r="K422" s="59">
        <v>0</v>
      </c>
      <c r="L422" s="59">
        <v>0</v>
      </c>
      <c r="M422" s="59">
        <v>0</v>
      </c>
      <c r="N422" s="59">
        <v>0</v>
      </c>
      <c r="O422" s="59">
        <v>0</v>
      </c>
      <c r="P422" s="59">
        <v>0</v>
      </c>
      <c r="Q422" s="59">
        <v>0</v>
      </c>
      <c r="S422" s="51" t="b">
        <f t="shared" si="107"/>
        <v>1</v>
      </c>
      <c r="U422" s="60" t="e">
        <v>#N/A</v>
      </c>
      <c r="V422" s="51" t="str">
        <f t="shared" si="112"/>
        <v>US Magnesium Reserve</v>
      </c>
      <c r="W422" s="60"/>
      <c r="Y422" s="60"/>
      <c r="AA422" s="60"/>
      <c r="AC422" s="54"/>
      <c r="AG422" s="62" t="str">
        <f t="shared" si="108"/>
        <v>Hide Row</v>
      </c>
    </row>
    <row r="423" spans="3:33" hidden="1">
      <c r="C423" s="58" t="s">
        <v>220</v>
      </c>
      <c r="E423" s="59">
        <f t="shared" si="106"/>
        <v>0</v>
      </c>
      <c r="F423" s="59">
        <v>0</v>
      </c>
      <c r="G423" s="59">
        <v>0</v>
      </c>
      <c r="H423" s="59">
        <v>0</v>
      </c>
      <c r="I423" s="59">
        <v>0</v>
      </c>
      <c r="J423" s="59">
        <v>0</v>
      </c>
      <c r="K423" s="59">
        <v>0</v>
      </c>
      <c r="L423" s="59">
        <v>0</v>
      </c>
      <c r="M423" s="59">
        <v>0</v>
      </c>
      <c r="N423" s="59">
        <v>0</v>
      </c>
      <c r="O423" s="59">
        <v>0</v>
      </c>
      <c r="P423" s="59">
        <v>0</v>
      </c>
      <c r="Q423" s="59">
        <v>0</v>
      </c>
      <c r="S423" s="51" t="b">
        <f t="shared" si="107"/>
        <v>1</v>
      </c>
      <c r="U423" s="60" t="e">
        <v>#N/A</v>
      </c>
      <c r="V423" s="51" t="str">
        <f t="shared" si="112"/>
        <v>Morgan Stanley p189046</v>
      </c>
      <c r="W423" s="60"/>
      <c r="Y423" s="60"/>
      <c r="AA423" s="60"/>
      <c r="AC423" s="54"/>
      <c r="AG423" s="62" t="str">
        <f t="shared" si="108"/>
        <v>Hide Row</v>
      </c>
    </row>
    <row r="424" spans="3:33" hidden="1">
      <c r="C424" s="58" t="s">
        <v>221</v>
      </c>
      <c r="E424" s="59">
        <f t="shared" si="106"/>
        <v>0</v>
      </c>
      <c r="F424" s="59">
        <v>0</v>
      </c>
      <c r="G424" s="59">
        <v>0</v>
      </c>
      <c r="H424" s="59">
        <v>0</v>
      </c>
      <c r="I424" s="59">
        <v>0</v>
      </c>
      <c r="J424" s="59">
        <v>0</v>
      </c>
      <c r="K424" s="59">
        <v>0</v>
      </c>
      <c r="L424" s="59">
        <v>0</v>
      </c>
      <c r="M424" s="59">
        <v>0</v>
      </c>
      <c r="N424" s="59">
        <v>0</v>
      </c>
      <c r="O424" s="59">
        <v>0</v>
      </c>
      <c r="P424" s="59">
        <v>0</v>
      </c>
      <c r="Q424" s="59">
        <v>0</v>
      </c>
      <c r="S424" s="51" t="b">
        <f t="shared" si="107"/>
        <v>1</v>
      </c>
      <c r="U424" s="60" t="e">
        <v>#N/A</v>
      </c>
      <c r="V424" s="51" t="str">
        <f t="shared" si="112"/>
        <v>Morgan Stanley p272153</v>
      </c>
      <c r="W424" s="60" t="e">
        <v>#N/A</v>
      </c>
      <c r="X424" s="51" t="str">
        <f>X94</f>
        <v>Morgan Stanley p272156</v>
      </c>
      <c r="Y424" s="60"/>
      <c r="AA424" s="60"/>
      <c r="AC424" s="54"/>
      <c r="AG424" s="62" t="str">
        <f t="shared" si="108"/>
        <v>Hide Row</v>
      </c>
    </row>
    <row r="425" spans="3:33" hidden="1">
      <c r="C425" s="58" t="s">
        <v>224</v>
      </c>
      <c r="E425" s="59">
        <f t="shared" si="106"/>
        <v>0</v>
      </c>
      <c r="F425" s="59">
        <v>0</v>
      </c>
      <c r="G425" s="59">
        <v>0</v>
      </c>
      <c r="H425" s="59">
        <v>0</v>
      </c>
      <c r="I425" s="59">
        <v>0</v>
      </c>
      <c r="J425" s="59">
        <v>0</v>
      </c>
      <c r="K425" s="59">
        <v>0</v>
      </c>
      <c r="L425" s="59">
        <v>0</v>
      </c>
      <c r="M425" s="59">
        <v>0</v>
      </c>
      <c r="N425" s="59">
        <v>0</v>
      </c>
      <c r="O425" s="59">
        <v>0</v>
      </c>
      <c r="P425" s="59">
        <v>0</v>
      </c>
      <c r="Q425" s="59">
        <v>0</v>
      </c>
      <c r="S425" s="51" t="b">
        <f t="shared" si="107"/>
        <v>1</v>
      </c>
      <c r="U425" s="60" t="e">
        <v>#N/A</v>
      </c>
      <c r="V425" s="51" t="str">
        <f t="shared" si="112"/>
        <v>Morgan Stanley p272154</v>
      </c>
      <c r="W425" s="60" t="e">
        <v>#N/A</v>
      </c>
      <c r="X425" s="51" t="str">
        <f>X95</f>
        <v>Morgan Stanley p272157</v>
      </c>
      <c r="Y425" s="60"/>
      <c r="AA425" s="60"/>
      <c r="AC425" s="54"/>
      <c r="AG425" s="62" t="str">
        <f t="shared" si="108"/>
        <v>Hide Row</v>
      </c>
    </row>
    <row r="426" spans="3:33" hidden="1">
      <c r="C426" s="58">
        <v>0</v>
      </c>
      <c r="E426" s="59">
        <f t="shared" si="106"/>
        <v>0</v>
      </c>
      <c r="F426" s="59">
        <v>0</v>
      </c>
      <c r="G426" s="59">
        <v>0</v>
      </c>
      <c r="H426" s="59">
        <v>0</v>
      </c>
      <c r="I426" s="59">
        <v>0</v>
      </c>
      <c r="J426" s="59">
        <v>0</v>
      </c>
      <c r="K426" s="59">
        <v>0</v>
      </c>
      <c r="L426" s="59">
        <v>0</v>
      </c>
      <c r="M426" s="59">
        <v>0</v>
      </c>
      <c r="N426" s="59">
        <v>0</v>
      </c>
      <c r="O426" s="59">
        <v>0</v>
      </c>
      <c r="P426" s="59">
        <v>0</v>
      </c>
      <c r="Q426" s="59">
        <v>0</v>
      </c>
      <c r="S426" s="51" t="b">
        <f t="shared" si="107"/>
        <v>1</v>
      </c>
      <c r="U426" s="60" t="e">
        <v>#N/A</v>
      </c>
      <c r="V426" s="51">
        <f t="shared" si="112"/>
        <v>0</v>
      </c>
      <c r="W426" s="60" t="e">
        <v>#N/A</v>
      </c>
      <c r="X426" s="51">
        <f>X96</f>
        <v>0</v>
      </c>
      <c r="Y426" s="60"/>
      <c r="AA426" s="61" t="e">
        <v>#N/A</v>
      </c>
      <c r="AB426" s="51">
        <f>AB96</f>
        <v>0</v>
      </c>
      <c r="AC426" s="54"/>
      <c r="AG426" s="62" t="str">
        <f t="shared" si="108"/>
        <v>Hide Row</v>
      </c>
    </row>
    <row r="427" spans="3:33" hidden="1">
      <c r="C427" s="58" t="s">
        <v>227</v>
      </c>
      <c r="E427" s="59">
        <f t="shared" si="106"/>
        <v>0</v>
      </c>
      <c r="F427" s="59">
        <v>0</v>
      </c>
      <c r="G427" s="59">
        <v>0</v>
      </c>
      <c r="H427" s="59">
        <v>0</v>
      </c>
      <c r="I427" s="59">
        <v>0</v>
      </c>
      <c r="J427" s="59">
        <v>0</v>
      </c>
      <c r="K427" s="59">
        <v>0</v>
      </c>
      <c r="L427" s="59">
        <v>0</v>
      </c>
      <c r="M427" s="59">
        <v>0</v>
      </c>
      <c r="N427" s="59">
        <v>0</v>
      </c>
      <c r="O427" s="59">
        <v>0</v>
      </c>
      <c r="P427" s="59">
        <v>0</v>
      </c>
      <c r="Q427" s="59">
        <v>0</v>
      </c>
      <c r="S427" s="51" t="b">
        <f t="shared" si="107"/>
        <v>1</v>
      </c>
      <c r="U427" s="62"/>
      <c r="V427" s="51" t="str">
        <f t="shared" si="112"/>
        <v>Nucor</v>
      </c>
      <c r="W427" s="60"/>
      <c r="X427" s="51" t="str">
        <f>X97</f>
        <v>Nucor (De-rate)</v>
      </c>
      <c r="Y427" s="60"/>
      <c r="AA427" s="60"/>
      <c r="AC427" s="54"/>
      <c r="AG427" s="62" t="str">
        <f t="shared" si="108"/>
        <v>Hide Row</v>
      </c>
    </row>
    <row r="428" spans="3:33" hidden="1">
      <c r="C428" s="58" t="s">
        <v>230</v>
      </c>
      <c r="E428" s="59">
        <f t="shared" si="106"/>
        <v>0</v>
      </c>
      <c r="F428" s="59">
        <v>0</v>
      </c>
      <c r="G428" s="59">
        <v>0</v>
      </c>
      <c r="H428" s="59">
        <v>0</v>
      </c>
      <c r="I428" s="59">
        <v>0</v>
      </c>
      <c r="J428" s="59">
        <v>0</v>
      </c>
      <c r="K428" s="59">
        <v>0</v>
      </c>
      <c r="L428" s="59">
        <v>0</v>
      </c>
      <c r="M428" s="59">
        <v>0</v>
      </c>
      <c r="N428" s="59">
        <v>0</v>
      </c>
      <c r="O428" s="59">
        <v>0</v>
      </c>
      <c r="P428" s="59">
        <v>0</v>
      </c>
      <c r="Q428" s="59">
        <v>0</v>
      </c>
      <c r="S428" s="51" t="b">
        <f t="shared" si="107"/>
        <v>1</v>
      </c>
      <c r="U428" s="62"/>
      <c r="V428" s="51" t="str">
        <f t="shared" si="112"/>
        <v>P4 Production</v>
      </c>
      <c r="W428" s="60"/>
      <c r="X428" s="53"/>
      <c r="Y428" s="60"/>
      <c r="Z428" s="70" t="str">
        <f>Z98</f>
        <v>Monsanto Excess Demand</v>
      </c>
      <c r="AA428" s="60"/>
      <c r="AB428" s="70" t="s">
        <v>538</v>
      </c>
      <c r="AC428" s="54"/>
      <c r="AD428" s="70" t="str">
        <f>AD98</f>
        <v>P4 Production (De-rate)</v>
      </c>
      <c r="AE428" s="70"/>
      <c r="AF428" s="70"/>
      <c r="AG428" s="62" t="str">
        <f t="shared" si="108"/>
        <v>Hide Row</v>
      </c>
    </row>
    <row r="429" spans="3:33">
      <c r="C429" s="58" t="s">
        <v>236</v>
      </c>
      <c r="E429" s="59">
        <f t="shared" si="106"/>
        <v>12024</v>
      </c>
      <c r="F429" s="59">
        <v>990</v>
      </c>
      <c r="G429" s="59">
        <v>1014</v>
      </c>
      <c r="H429" s="59">
        <v>990</v>
      </c>
      <c r="I429" s="59">
        <v>1014</v>
      </c>
      <c r="J429" s="59">
        <v>1014</v>
      </c>
      <c r="K429" s="59">
        <v>990</v>
      </c>
      <c r="L429" s="59">
        <v>1014</v>
      </c>
      <c r="M429" s="59">
        <v>990</v>
      </c>
      <c r="N429" s="59">
        <v>1014</v>
      </c>
      <c r="O429" s="59">
        <v>1014</v>
      </c>
      <c r="P429" s="59">
        <v>966</v>
      </c>
      <c r="Q429" s="59">
        <v>1014</v>
      </c>
      <c r="S429" s="51" t="b">
        <f t="shared" si="107"/>
        <v>1</v>
      </c>
      <c r="U429" s="60">
        <v>18</v>
      </c>
      <c r="V429" s="51" t="str">
        <f t="shared" si="112"/>
        <v>PGE Cove</v>
      </c>
      <c r="W429" s="60"/>
      <c r="X429" s="70" t="s">
        <v>238</v>
      </c>
      <c r="Y429" s="60"/>
      <c r="AA429" s="60"/>
      <c r="AC429" s="54"/>
      <c r="AG429" s="62" t="str">
        <f t="shared" si="108"/>
        <v/>
      </c>
    </row>
    <row r="430" spans="3:33">
      <c r="C430" s="58" t="s">
        <v>239</v>
      </c>
      <c r="E430" s="59">
        <f t="shared" si="106"/>
        <v>0</v>
      </c>
      <c r="F430" s="59">
        <v>0</v>
      </c>
      <c r="G430" s="59">
        <v>0</v>
      </c>
      <c r="H430" s="59">
        <v>0</v>
      </c>
      <c r="I430" s="59">
        <v>0</v>
      </c>
      <c r="J430" s="59">
        <v>0</v>
      </c>
      <c r="K430" s="59">
        <v>0</v>
      </c>
      <c r="L430" s="59">
        <v>0</v>
      </c>
      <c r="M430" s="59">
        <v>0</v>
      </c>
      <c r="N430" s="59">
        <v>0</v>
      </c>
      <c r="O430" s="59">
        <v>0</v>
      </c>
      <c r="P430" s="59">
        <v>0</v>
      </c>
      <c r="Q430" s="59">
        <v>0</v>
      </c>
      <c r="S430" s="51" t="b">
        <f t="shared" si="107"/>
        <v>1</v>
      </c>
      <c r="U430" s="60" t="e">
        <v>#N/A</v>
      </c>
      <c r="V430" s="51" t="str">
        <f t="shared" si="112"/>
        <v>Rock River I</v>
      </c>
      <c r="W430" s="60"/>
      <c r="X430" s="70" t="str">
        <f>X100</f>
        <v>Rock River C&amp;R Discount</v>
      </c>
      <c r="Y430" s="60"/>
      <c r="AA430" s="60"/>
      <c r="AC430" s="54"/>
      <c r="AG430" s="62" t="str">
        <f t="shared" si="108"/>
        <v>Hide Row</v>
      </c>
    </row>
    <row r="431" spans="3:33" hidden="1">
      <c r="C431" s="58" t="s">
        <v>242</v>
      </c>
      <c r="E431" s="59">
        <f t="shared" si="106"/>
        <v>0</v>
      </c>
      <c r="F431" s="59">
        <v>0</v>
      </c>
      <c r="G431" s="59">
        <v>0</v>
      </c>
      <c r="H431" s="59">
        <v>0</v>
      </c>
      <c r="I431" s="59">
        <v>0</v>
      </c>
      <c r="J431" s="59">
        <v>0</v>
      </c>
      <c r="K431" s="59">
        <v>0</v>
      </c>
      <c r="L431" s="59">
        <v>0</v>
      </c>
      <c r="M431" s="59">
        <v>0</v>
      </c>
      <c r="N431" s="59">
        <v>0</v>
      </c>
      <c r="O431" s="59">
        <v>0</v>
      </c>
      <c r="P431" s="59">
        <v>0</v>
      </c>
      <c r="Q431" s="59">
        <v>0</v>
      </c>
      <c r="S431" s="51" t="b">
        <f t="shared" si="107"/>
        <v>1</v>
      </c>
      <c r="U431" s="60" t="e">
        <v>#N/A</v>
      </c>
      <c r="V431" s="51" t="str">
        <f t="shared" si="112"/>
        <v>Roseburg Forest Products</v>
      </c>
      <c r="W431" s="60" t="e">
        <v>#N/A</v>
      </c>
      <c r="X431" s="51" t="str">
        <f>X101</f>
        <v>Roseburg Forest Products Option</v>
      </c>
      <c r="Y431" s="60"/>
      <c r="AA431" s="60"/>
      <c r="AC431" s="54"/>
      <c r="AG431" s="62" t="str">
        <f t="shared" si="108"/>
        <v>Hide Row</v>
      </c>
    </row>
    <row r="432" spans="3:33">
      <c r="C432" s="58" t="s">
        <v>245</v>
      </c>
      <c r="E432" s="59">
        <f t="shared" si="106"/>
        <v>0</v>
      </c>
      <c r="F432" s="59">
        <v>0</v>
      </c>
      <c r="G432" s="59">
        <v>0</v>
      </c>
      <c r="H432" s="59">
        <v>0</v>
      </c>
      <c r="I432" s="59">
        <v>0</v>
      </c>
      <c r="J432" s="59">
        <v>0</v>
      </c>
      <c r="K432" s="59">
        <v>0</v>
      </c>
      <c r="L432" s="59">
        <v>0</v>
      </c>
      <c r="M432" s="59">
        <v>0</v>
      </c>
      <c r="N432" s="59">
        <v>0</v>
      </c>
      <c r="O432" s="59">
        <v>0</v>
      </c>
      <c r="P432" s="59">
        <v>0</v>
      </c>
      <c r="Q432" s="59">
        <v>0</v>
      </c>
      <c r="S432" s="51" t="b">
        <f t="shared" si="107"/>
        <v>1</v>
      </c>
      <c r="U432" s="60" t="e">
        <v>#N/A</v>
      </c>
      <c r="V432" s="51" t="str">
        <f t="shared" si="112"/>
        <v>Small Purchases east</v>
      </c>
      <c r="W432" s="60"/>
      <c r="Y432" s="60"/>
      <c r="AA432" s="60"/>
      <c r="AC432" s="54"/>
      <c r="AG432" s="62" t="str">
        <f t="shared" si="108"/>
        <v>Hide Row</v>
      </c>
    </row>
    <row r="433" spans="2:33">
      <c r="C433" s="58" t="s">
        <v>246</v>
      </c>
      <c r="E433" s="59">
        <f t="shared" si="106"/>
        <v>0</v>
      </c>
      <c r="F433" s="59">
        <v>0</v>
      </c>
      <c r="G433" s="59">
        <v>0</v>
      </c>
      <c r="H433" s="59">
        <v>0</v>
      </c>
      <c r="I433" s="59">
        <v>0</v>
      </c>
      <c r="J433" s="59">
        <v>0</v>
      </c>
      <c r="K433" s="59">
        <v>0</v>
      </c>
      <c r="L433" s="59">
        <v>0</v>
      </c>
      <c r="M433" s="59">
        <v>0</v>
      </c>
      <c r="N433" s="59">
        <v>0</v>
      </c>
      <c r="O433" s="59">
        <v>0</v>
      </c>
      <c r="P433" s="59">
        <v>0</v>
      </c>
      <c r="Q433" s="59">
        <v>0</v>
      </c>
      <c r="S433" s="51" t="b">
        <f t="shared" si="107"/>
        <v>1</v>
      </c>
      <c r="U433" s="60">
        <v>24</v>
      </c>
      <c r="V433" s="51" t="str">
        <f t="shared" si="112"/>
        <v>Small Purchases west</v>
      </c>
      <c r="W433" s="60"/>
      <c r="Y433" s="60"/>
      <c r="AA433" s="60"/>
      <c r="AC433" s="54"/>
      <c r="AG433" s="62" t="str">
        <f t="shared" si="108"/>
        <v/>
      </c>
    </row>
    <row r="434" spans="2:33">
      <c r="C434" s="58" t="s">
        <v>247</v>
      </c>
      <c r="E434" s="59">
        <f t="shared" si="106"/>
        <v>0</v>
      </c>
      <c r="F434" s="59">
        <v>0</v>
      </c>
      <c r="G434" s="59">
        <v>0</v>
      </c>
      <c r="H434" s="59">
        <v>0</v>
      </c>
      <c r="I434" s="59">
        <v>0</v>
      </c>
      <c r="J434" s="59">
        <v>0</v>
      </c>
      <c r="K434" s="59">
        <v>0</v>
      </c>
      <c r="L434" s="59">
        <v>0</v>
      </c>
      <c r="M434" s="59">
        <v>0</v>
      </c>
      <c r="N434" s="59">
        <v>0</v>
      </c>
      <c r="O434" s="59">
        <v>0</v>
      </c>
      <c r="P434" s="59">
        <v>0</v>
      </c>
      <c r="Q434" s="59">
        <v>0</v>
      </c>
      <c r="S434" s="51" t="b">
        <f t="shared" si="107"/>
        <v>1</v>
      </c>
      <c r="U434" s="60" t="e">
        <v>#N/A</v>
      </c>
      <c r="V434" s="51" t="str">
        <f t="shared" si="112"/>
        <v>Three Buttes Wind</v>
      </c>
      <c r="W434" s="60" t="e">
        <v>#N/A</v>
      </c>
      <c r="X434" s="51" t="s">
        <v>249</v>
      </c>
      <c r="Y434" s="60" t="e">
        <v>#N/A</v>
      </c>
      <c r="Z434" s="51" t="s">
        <v>250</v>
      </c>
      <c r="AA434" s="60"/>
      <c r="AC434" s="54"/>
      <c r="AG434" s="62" t="str">
        <f t="shared" si="108"/>
        <v>Hide Row</v>
      </c>
    </row>
    <row r="435" spans="2:33">
      <c r="C435" s="58" t="s">
        <v>251</v>
      </c>
      <c r="E435" s="59">
        <f>SUM(F435:Q435)</f>
        <v>0</v>
      </c>
      <c r="F435" s="59">
        <v>0</v>
      </c>
      <c r="G435" s="59">
        <v>0</v>
      </c>
      <c r="H435" s="59">
        <v>0</v>
      </c>
      <c r="I435" s="59">
        <v>0</v>
      </c>
      <c r="J435" s="59">
        <v>0</v>
      </c>
      <c r="K435" s="59">
        <v>0</v>
      </c>
      <c r="L435" s="59">
        <v>0</v>
      </c>
      <c r="M435" s="59">
        <v>0</v>
      </c>
      <c r="N435" s="59">
        <v>0</v>
      </c>
      <c r="O435" s="59">
        <v>0</v>
      </c>
      <c r="P435" s="59">
        <v>0</v>
      </c>
      <c r="Q435" s="59">
        <v>0</v>
      </c>
      <c r="S435" s="51" t="b">
        <f t="shared" si="107"/>
        <v>1</v>
      </c>
      <c r="U435" s="60" t="e">
        <v>#N/A</v>
      </c>
      <c r="V435" s="51" t="str">
        <f t="shared" si="112"/>
        <v>Top of the World Wind p522807</v>
      </c>
      <c r="W435" s="60" t="e">
        <v>#N/A</v>
      </c>
      <c r="X435" s="51" t="str">
        <f>X105</f>
        <v>Top of the World Wind p575862</v>
      </c>
      <c r="Y435" s="60" t="e">
        <v>#N/A</v>
      </c>
      <c r="AA435" s="60"/>
      <c r="AC435" s="54"/>
      <c r="AG435" s="62" t="str">
        <f>IF(OR(ISNUMBER(U435),ISNUMBER(W435),ISNUMBER(Y435),ISNUMBER(AA435),ISNUMBER(AC435)),"","Hide Row")</f>
        <v>Hide Row</v>
      </c>
    </row>
    <row r="436" spans="2:33">
      <c r="C436" s="58" t="s">
        <v>253</v>
      </c>
      <c r="E436" s="59">
        <f>SUM(F436:Q436)</f>
        <v>0</v>
      </c>
      <c r="F436" s="59">
        <v>0</v>
      </c>
      <c r="G436" s="59">
        <v>0</v>
      </c>
      <c r="H436" s="59">
        <v>0</v>
      </c>
      <c r="I436" s="59">
        <v>0</v>
      </c>
      <c r="J436" s="59">
        <v>0</v>
      </c>
      <c r="K436" s="59">
        <v>0</v>
      </c>
      <c r="L436" s="59">
        <v>0</v>
      </c>
      <c r="M436" s="59">
        <v>0</v>
      </c>
      <c r="N436" s="59">
        <v>0</v>
      </c>
      <c r="O436" s="59">
        <v>0</v>
      </c>
      <c r="P436" s="59">
        <v>0</v>
      </c>
      <c r="Q436" s="59">
        <v>0</v>
      </c>
      <c r="S436" s="51" t="b">
        <f t="shared" si="107"/>
        <v>1</v>
      </c>
      <c r="U436" s="60" t="e">
        <v>#N/A</v>
      </c>
      <c r="V436" s="51" t="str">
        <f t="shared" si="112"/>
        <v>Tri-State Purchase</v>
      </c>
      <c r="W436" s="60" t="e">
        <v>#N/A</v>
      </c>
      <c r="Y436" s="60" t="e">
        <v>#N/A</v>
      </c>
      <c r="AA436" s="60"/>
      <c r="AC436" s="54"/>
      <c r="AG436" s="62" t="str">
        <f t="shared" ref="AG436:AG439" si="113">IF(OR(ISNUMBER(U436),ISNUMBER(W436),ISNUMBER(Y436),ISNUMBER(AA436),ISNUMBER(AC436)),"","Hide Row")</f>
        <v>Hide Row</v>
      </c>
    </row>
    <row r="437" spans="2:33">
      <c r="C437" s="58" t="s">
        <v>255</v>
      </c>
      <c r="E437" s="59">
        <f>SUM(F437:Q437)</f>
        <v>0</v>
      </c>
      <c r="F437" s="59">
        <v>0</v>
      </c>
      <c r="G437" s="59">
        <v>0</v>
      </c>
      <c r="H437" s="59">
        <v>0</v>
      </c>
      <c r="I437" s="59">
        <v>0</v>
      </c>
      <c r="J437" s="59">
        <v>0</v>
      </c>
      <c r="K437" s="59">
        <v>0</v>
      </c>
      <c r="L437" s="59">
        <v>0</v>
      </c>
      <c r="M437" s="59">
        <v>0</v>
      </c>
      <c r="N437" s="59">
        <v>0</v>
      </c>
      <c r="O437" s="59">
        <v>0</v>
      </c>
      <c r="P437" s="59">
        <v>0</v>
      </c>
      <c r="Q437" s="59">
        <v>0</v>
      </c>
      <c r="S437" s="51" t="b">
        <f t="shared" si="107"/>
        <v>1</v>
      </c>
      <c r="U437" s="60" t="e">
        <v>#N/A</v>
      </c>
      <c r="V437" s="51" t="str">
        <f t="shared" si="112"/>
        <v>West Valley Toll</v>
      </c>
      <c r="W437" s="61" t="e">
        <v>#N/A</v>
      </c>
      <c r="X437" s="51" t="str">
        <f>X107</f>
        <v>West Valley Toll</v>
      </c>
      <c r="Y437" s="60" t="e">
        <v>#N/A</v>
      </c>
      <c r="AA437" s="60"/>
      <c r="AC437" s="54"/>
      <c r="AG437" s="62" t="str">
        <f t="shared" si="113"/>
        <v>Hide Row</v>
      </c>
    </row>
    <row r="438" spans="2:33">
      <c r="C438" s="58" t="s">
        <v>257</v>
      </c>
      <c r="E438" s="65">
        <f>SUM(F438:Q438)</f>
        <v>0</v>
      </c>
      <c r="F438" s="65">
        <v>0</v>
      </c>
      <c r="G438" s="65">
        <v>0</v>
      </c>
      <c r="H438" s="65">
        <v>0</v>
      </c>
      <c r="I438" s="65">
        <v>0</v>
      </c>
      <c r="J438" s="65">
        <v>0</v>
      </c>
      <c r="K438" s="65">
        <v>0</v>
      </c>
      <c r="L438" s="65">
        <v>0</v>
      </c>
      <c r="M438" s="65">
        <v>0</v>
      </c>
      <c r="N438" s="65">
        <v>0</v>
      </c>
      <c r="O438" s="65">
        <v>0</v>
      </c>
      <c r="P438" s="65">
        <v>0</v>
      </c>
      <c r="Q438" s="65">
        <v>0</v>
      </c>
      <c r="S438" s="51" t="b">
        <f t="shared" si="107"/>
        <v>1</v>
      </c>
      <c r="U438" s="60" t="e">
        <v>#N/A</v>
      </c>
      <c r="V438" s="51" t="str">
        <f t="shared" si="112"/>
        <v>Wolverine Creek</v>
      </c>
      <c r="W438" s="60" t="e">
        <v>#N/A</v>
      </c>
      <c r="Y438" s="60" t="e">
        <v>#N/A</v>
      </c>
      <c r="AA438" s="60"/>
      <c r="AC438" s="54"/>
      <c r="AG438" s="62" t="str">
        <f t="shared" si="113"/>
        <v>Hide Row</v>
      </c>
    </row>
    <row r="439" spans="2:33" hidden="1">
      <c r="B439" s="84"/>
      <c r="C439" s="129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U439" s="60"/>
      <c r="W439" s="60"/>
      <c r="Y439" s="60"/>
      <c r="AA439" s="60"/>
      <c r="AG439" s="62" t="str">
        <f t="shared" si="113"/>
        <v>Hide Row</v>
      </c>
    </row>
    <row r="440" spans="2:33">
      <c r="C440" s="58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</row>
    <row r="441" spans="2:33">
      <c r="B441" s="51" t="str">
        <f>B111</f>
        <v>Long Term Firm Purchases Total</v>
      </c>
      <c r="C441" s="58"/>
      <c r="E441" s="59">
        <f>SUM(F441:Q441)</f>
        <v>1462344.0970404812</v>
      </c>
      <c r="F441" s="59">
        <f t="shared" ref="F441:Q441" si="114">SUM(F401:F439)</f>
        <v>112998.33283069999</v>
      </c>
      <c r="G441" s="59">
        <f t="shared" si="114"/>
        <v>50640.086637631</v>
      </c>
      <c r="H441" s="59">
        <f t="shared" si="114"/>
        <v>29056.315233869998</v>
      </c>
      <c r="I441" s="59">
        <f t="shared" si="114"/>
        <v>151231.97001336</v>
      </c>
      <c r="J441" s="59">
        <f t="shared" si="114"/>
        <v>160308.02446360001</v>
      </c>
      <c r="K441" s="59">
        <f t="shared" si="114"/>
        <v>130575.62239119998</v>
      </c>
      <c r="L441" s="59">
        <f t="shared" si="114"/>
        <v>161101.03159644001</v>
      </c>
      <c r="M441" s="59">
        <f t="shared" si="114"/>
        <v>143040.6054843</v>
      </c>
      <c r="N441" s="59">
        <f t="shared" si="114"/>
        <v>144097.50743319001</v>
      </c>
      <c r="O441" s="59">
        <f t="shared" si="114"/>
        <v>138009.83083731998</v>
      </c>
      <c r="P441" s="59">
        <f t="shared" si="114"/>
        <v>118690.72555832</v>
      </c>
      <c r="Q441" s="59">
        <f t="shared" si="114"/>
        <v>122594.04456055</v>
      </c>
    </row>
    <row r="442" spans="2:33">
      <c r="C442" s="58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</row>
    <row r="443" spans="2:33">
      <c r="B443" s="51" t="str">
        <f>B113</f>
        <v>Seasonal Purchased Power</v>
      </c>
      <c r="C443" s="58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</row>
    <row r="444" spans="2:33">
      <c r="B444" s="84"/>
      <c r="C444" s="58" t="s">
        <v>260</v>
      </c>
      <c r="E444" s="59">
        <f>SUM(F444:Q444)</f>
        <v>0</v>
      </c>
      <c r="F444" s="59">
        <v>0</v>
      </c>
      <c r="G444" s="59">
        <v>0</v>
      </c>
      <c r="H444" s="59">
        <v>0</v>
      </c>
      <c r="I444" s="59">
        <v>0</v>
      </c>
      <c r="J444" s="59">
        <v>0</v>
      </c>
      <c r="K444" s="59">
        <v>0</v>
      </c>
      <c r="L444" s="59">
        <v>0</v>
      </c>
      <c r="M444" s="59">
        <v>0</v>
      </c>
      <c r="N444" s="59">
        <v>0</v>
      </c>
      <c r="O444" s="59">
        <v>0</v>
      </c>
      <c r="P444" s="59">
        <v>0</v>
      </c>
      <c r="Q444" s="59">
        <v>0</v>
      </c>
      <c r="S444" s="51" t="b">
        <f>C114=C444</f>
        <v>1</v>
      </c>
      <c r="U444" s="60" t="e">
        <v>#N/A</v>
      </c>
      <c r="V444" s="51" t="str">
        <f>V114</f>
        <v>Constellation Seasonal 2013-2016</v>
      </c>
      <c r="W444" s="60"/>
      <c r="Y444" s="60"/>
      <c r="AA444" s="60"/>
      <c r="AG444" s="62"/>
    </row>
    <row r="445" spans="2:33" hidden="1">
      <c r="B445" s="84"/>
      <c r="C445" s="58">
        <v>0</v>
      </c>
      <c r="E445" s="59">
        <f>SUM(F445:Q445)</f>
        <v>0</v>
      </c>
      <c r="F445" s="59">
        <v>0</v>
      </c>
      <c r="G445" s="59">
        <v>0</v>
      </c>
      <c r="H445" s="59">
        <v>0</v>
      </c>
      <c r="I445" s="59">
        <v>0</v>
      </c>
      <c r="J445" s="59">
        <v>0</v>
      </c>
      <c r="K445" s="59">
        <v>0</v>
      </c>
      <c r="L445" s="59">
        <v>0</v>
      </c>
      <c r="M445" s="59">
        <v>0</v>
      </c>
      <c r="N445" s="59">
        <v>0</v>
      </c>
      <c r="O445" s="59">
        <v>0</v>
      </c>
      <c r="P445" s="59">
        <v>0</v>
      </c>
      <c r="Q445" s="59">
        <v>0</v>
      </c>
      <c r="S445" s="51" t="b">
        <f>C115=C445</f>
        <v>1</v>
      </c>
      <c r="U445" s="60" t="e">
        <v>#N/A</v>
      </c>
      <c r="V445" s="51">
        <f>V115</f>
        <v>0</v>
      </c>
      <c r="W445" s="60"/>
      <c r="Y445" s="60"/>
      <c r="AA445" s="60"/>
      <c r="AG445" s="62" t="str">
        <f t="shared" ref="AG445:AG450" si="115">IF(OR(ISNUMBER(U445),ISNUMBER(W445),ISNUMBER(Y445),ISNUMBER(AA445),ISNUMBER(AC445)),"","Hide Row")</f>
        <v>Hide Row</v>
      </c>
    </row>
    <row r="446" spans="2:33" hidden="1">
      <c r="B446" s="84"/>
      <c r="C446" s="58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U446" s="60"/>
      <c r="W446" s="60"/>
      <c r="Y446" s="60"/>
      <c r="AA446" s="60"/>
      <c r="AG446" s="62" t="str">
        <f t="shared" si="115"/>
        <v>Hide Row</v>
      </c>
    </row>
    <row r="447" spans="2:33" hidden="1">
      <c r="B447" s="84"/>
      <c r="C447" s="58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U447" s="60"/>
      <c r="W447" s="60"/>
      <c r="Y447" s="60"/>
      <c r="AA447" s="60"/>
      <c r="AG447" s="62" t="str">
        <f t="shared" si="115"/>
        <v>Hide Row</v>
      </c>
    </row>
    <row r="448" spans="2:33" hidden="1">
      <c r="B448" s="84"/>
      <c r="C448" s="58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U448" s="60"/>
      <c r="W448" s="60"/>
      <c r="Y448" s="60"/>
      <c r="AA448" s="60"/>
      <c r="AG448" s="62" t="str">
        <f t="shared" si="115"/>
        <v>Hide Row</v>
      </c>
    </row>
    <row r="449" spans="2:33" hidden="1">
      <c r="B449" s="84"/>
      <c r="C449" s="58">
        <v>0</v>
      </c>
      <c r="E449" s="59">
        <f>SUM(F449:Q449)</f>
        <v>0</v>
      </c>
      <c r="F449" s="59">
        <v>0</v>
      </c>
      <c r="G449" s="59">
        <v>0</v>
      </c>
      <c r="H449" s="59">
        <v>0</v>
      </c>
      <c r="I449" s="59">
        <v>0</v>
      </c>
      <c r="J449" s="59">
        <v>0</v>
      </c>
      <c r="K449" s="59">
        <v>0</v>
      </c>
      <c r="L449" s="59">
        <v>0</v>
      </c>
      <c r="M449" s="59">
        <v>0</v>
      </c>
      <c r="N449" s="59">
        <v>0</v>
      </c>
      <c r="O449" s="59">
        <v>0</v>
      </c>
      <c r="P449" s="59">
        <v>0</v>
      </c>
      <c r="Q449" s="59">
        <v>0</v>
      </c>
      <c r="R449" s="54"/>
      <c r="S449" s="51" t="b">
        <f>C119=C449</f>
        <v>1</v>
      </c>
      <c r="U449" s="60" t="e">
        <v>#N/A</v>
      </c>
      <c r="V449" s="51">
        <f>V119</f>
        <v>0</v>
      </c>
      <c r="W449" s="60"/>
      <c r="Y449" s="60"/>
      <c r="AA449" s="60"/>
      <c r="AG449" s="62" t="str">
        <f t="shared" si="115"/>
        <v>Hide Row</v>
      </c>
    </row>
    <row r="450" spans="2:33" hidden="1">
      <c r="B450" s="84"/>
      <c r="C450" s="58">
        <v>0</v>
      </c>
      <c r="E450" s="65">
        <f>SUM(F450:Q450)</f>
        <v>0</v>
      </c>
      <c r="F450" s="65">
        <v>0</v>
      </c>
      <c r="G450" s="65">
        <v>0</v>
      </c>
      <c r="H450" s="65">
        <v>0</v>
      </c>
      <c r="I450" s="65">
        <v>0</v>
      </c>
      <c r="J450" s="65">
        <v>0</v>
      </c>
      <c r="K450" s="65">
        <v>0</v>
      </c>
      <c r="L450" s="65">
        <v>0</v>
      </c>
      <c r="M450" s="65">
        <v>0</v>
      </c>
      <c r="N450" s="65">
        <v>0</v>
      </c>
      <c r="O450" s="65">
        <v>0</v>
      </c>
      <c r="P450" s="65">
        <v>0</v>
      </c>
      <c r="Q450" s="65">
        <v>0</v>
      </c>
      <c r="S450" s="51" t="b">
        <f>C120=C450</f>
        <v>1</v>
      </c>
      <c r="U450" s="60" t="e">
        <v>#N/A</v>
      </c>
      <c r="V450" s="51">
        <f>V120</f>
        <v>0</v>
      </c>
      <c r="W450" s="60"/>
      <c r="Y450" s="60"/>
      <c r="AA450" s="60"/>
      <c r="AG450" s="62" t="str">
        <f t="shared" si="115"/>
        <v>Hide Row</v>
      </c>
    </row>
    <row r="451" spans="2:33">
      <c r="B451" s="84"/>
      <c r="C451" s="58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</row>
    <row r="452" spans="2:33">
      <c r="B452" s="51" t="str">
        <f>B122</f>
        <v>Seasonal Purchased Power Total</v>
      </c>
      <c r="C452" s="58"/>
      <c r="E452" s="59">
        <f>SUM(F452:Q452)</f>
        <v>0</v>
      </c>
      <c r="F452" s="59">
        <f t="shared" ref="F452:Q452" si="116">SUM(F444:F450)</f>
        <v>0</v>
      </c>
      <c r="G452" s="59">
        <f t="shared" si="116"/>
        <v>0</v>
      </c>
      <c r="H452" s="59">
        <f t="shared" si="116"/>
        <v>0</v>
      </c>
      <c r="I452" s="59">
        <f t="shared" si="116"/>
        <v>0</v>
      </c>
      <c r="J452" s="59">
        <f t="shared" si="116"/>
        <v>0</v>
      </c>
      <c r="K452" s="59">
        <f t="shared" si="116"/>
        <v>0</v>
      </c>
      <c r="L452" s="59">
        <f t="shared" si="116"/>
        <v>0</v>
      </c>
      <c r="M452" s="59">
        <f t="shared" si="116"/>
        <v>0</v>
      </c>
      <c r="N452" s="59">
        <f t="shared" si="116"/>
        <v>0</v>
      </c>
      <c r="O452" s="59">
        <f t="shared" si="116"/>
        <v>0</v>
      </c>
      <c r="P452" s="59">
        <f t="shared" si="116"/>
        <v>0</v>
      </c>
      <c r="Q452" s="59">
        <f t="shared" si="116"/>
        <v>0</v>
      </c>
    </row>
    <row r="453" spans="2:33">
      <c r="C453" s="58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Z453" s="70" t="s">
        <v>148</v>
      </c>
      <c r="AB453" s="70" t="s">
        <v>153</v>
      </c>
    </row>
    <row r="454" spans="2:33">
      <c r="B454" s="51" t="str">
        <f>B124</f>
        <v>Qualifying Facilities</v>
      </c>
      <c r="C454" s="85"/>
      <c r="E454" s="130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Z454" s="70" t="s">
        <v>150</v>
      </c>
      <c r="AB454" s="70" t="s">
        <v>154</v>
      </c>
    </row>
    <row r="455" spans="2:33">
      <c r="B455" s="84"/>
      <c r="C455" s="85" t="s">
        <v>263</v>
      </c>
      <c r="E455" s="59">
        <f t="shared" ref="E455:E491" si="117">SUM(F455:Q455)</f>
        <v>0</v>
      </c>
      <c r="F455" s="59">
        <v>0</v>
      </c>
      <c r="G455" s="59">
        <v>0</v>
      </c>
      <c r="H455" s="59">
        <v>0</v>
      </c>
      <c r="I455" s="59">
        <v>0</v>
      </c>
      <c r="J455" s="59">
        <v>0</v>
      </c>
      <c r="K455" s="59">
        <v>0</v>
      </c>
      <c r="L455" s="59">
        <v>0</v>
      </c>
      <c r="M455" s="59">
        <v>0</v>
      </c>
      <c r="N455" s="59">
        <v>0</v>
      </c>
      <c r="O455" s="59">
        <v>0</v>
      </c>
      <c r="P455" s="59">
        <v>0</v>
      </c>
      <c r="Q455" s="59">
        <v>0</v>
      </c>
      <c r="S455" s="51" t="b">
        <f t="shared" ref="S455:S492" si="118">C125=C455</f>
        <v>1</v>
      </c>
      <c r="U455" s="60" t="e">
        <v>#N/A</v>
      </c>
      <c r="V455" s="51" t="str">
        <f t="shared" ref="V455:V479" si="119">V125</f>
        <v>California QF</v>
      </c>
      <c r="W455" s="60" t="e">
        <v>#N/A</v>
      </c>
      <c r="X455" s="51" t="str">
        <f t="shared" ref="X455:X461" si="120">X125</f>
        <v>California Pre-MSP QF</v>
      </c>
      <c r="Y455" s="60" t="e">
        <v>#N/A</v>
      </c>
      <c r="Z455" s="51" t="str">
        <f t="shared" ref="Z455:Z460" si="121">Z125</f>
        <v>California Pre-Merger QF</v>
      </c>
      <c r="AA455" s="60" t="e">
        <v>#N/A</v>
      </c>
      <c r="AB455" s="51" t="str">
        <f t="shared" ref="AB455:AB460" si="122">AB125</f>
        <v>California Post-Merger Pre-MSP QF</v>
      </c>
      <c r="AC455" s="60" t="e">
        <v>#N/A</v>
      </c>
      <c r="AD455" s="51" t="str">
        <f t="shared" ref="AD455:AD460" si="123">AD125</f>
        <v>California Post-MSP QF</v>
      </c>
      <c r="AG455" s="62" t="str">
        <f t="shared" ref="AG455:AG492" si="124">IF(OR(ISNUMBER(U455),ISNUMBER(W455),ISNUMBER(Y455),ISNUMBER(AA455),ISNUMBER(AC455)),"","Hide Row")</f>
        <v>Hide Row</v>
      </c>
    </row>
    <row r="456" spans="2:33">
      <c r="B456" s="84"/>
      <c r="C456" s="85" t="s">
        <v>269</v>
      </c>
      <c r="E456" s="59">
        <f t="shared" si="117"/>
        <v>0</v>
      </c>
      <c r="F456" s="59">
        <v>0</v>
      </c>
      <c r="G456" s="59">
        <v>0</v>
      </c>
      <c r="H456" s="59">
        <v>0</v>
      </c>
      <c r="I456" s="59">
        <v>0</v>
      </c>
      <c r="J456" s="59">
        <v>0</v>
      </c>
      <c r="K456" s="59">
        <v>0</v>
      </c>
      <c r="L456" s="59">
        <v>0</v>
      </c>
      <c r="M456" s="59">
        <v>0</v>
      </c>
      <c r="N456" s="59">
        <v>0</v>
      </c>
      <c r="O456" s="59">
        <v>0</v>
      </c>
      <c r="P456" s="59">
        <v>0</v>
      </c>
      <c r="Q456" s="59">
        <v>0</v>
      </c>
      <c r="S456" s="51" t="b">
        <f t="shared" si="118"/>
        <v>1</v>
      </c>
      <c r="U456" s="60" t="e">
        <v>#N/A</v>
      </c>
      <c r="V456" s="51" t="str">
        <f t="shared" si="119"/>
        <v>Idaho QF</v>
      </c>
      <c r="W456" s="60" t="e">
        <v>#N/A</v>
      </c>
      <c r="X456" s="51" t="str">
        <f t="shared" si="120"/>
        <v>Idaho Pre-MSP QF</v>
      </c>
      <c r="Y456" s="60" t="e">
        <v>#N/A</v>
      </c>
      <c r="Z456" s="51" t="str">
        <f t="shared" si="121"/>
        <v>Idaho Pre-Merger QF</v>
      </c>
      <c r="AA456" s="60" t="e">
        <v>#N/A</v>
      </c>
      <c r="AB456" s="51" t="str">
        <f t="shared" si="122"/>
        <v>Idaho Post-Merger Pre-MSP QF</v>
      </c>
      <c r="AC456" s="60" t="e">
        <v>#N/A</v>
      </c>
      <c r="AD456" s="51" t="str">
        <f t="shared" si="123"/>
        <v>Idaho Post-MSP QF</v>
      </c>
      <c r="AG456" s="62" t="str">
        <f t="shared" si="124"/>
        <v>Hide Row</v>
      </c>
    </row>
    <row r="457" spans="2:33">
      <c r="B457" s="84"/>
      <c r="C457" s="85" t="s">
        <v>275</v>
      </c>
      <c r="E457" s="59">
        <f t="shared" si="117"/>
        <v>0</v>
      </c>
      <c r="F457" s="59">
        <v>0</v>
      </c>
      <c r="G457" s="59">
        <v>0</v>
      </c>
      <c r="H457" s="59">
        <v>0</v>
      </c>
      <c r="I457" s="59">
        <v>0</v>
      </c>
      <c r="J457" s="59">
        <v>0</v>
      </c>
      <c r="K457" s="59">
        <v>0</v>
      </c>
      <c r="L457" s="59">
        <v>0</v>
      </c>
      <c r="M457" s="59">
        <v>0</v>
      </c>
      <c r="N457" s="59">
        <v>0</v>
      </c>
      <c r="O457" s="59">
        <v>0</v>
      </c>
      <c r="P457" s="59">
        <v>0</v>
      </c>
      <c r="Q457" s="59">
        <v>0</v>
      </c>
      <c r="S457" s="51" t="b">
        <f t="shared" si="118"/>
        <v>1</v>
      </c>
      <c r="U457" s="60" t="e">
        <v>#N/A</v>
      </c>
      <c r="V457" s="51" t="str">
        <f t="shared" si="119"/>
        <v>Oregon QF</v>
      </c>
      <c r="W457" s="60" t="e">
        <v>#N/A</v>
      </c>
      <c r="X457" s="51" t="str">
        <f t="shared" si="120"/>
        <v>Oregon Pre-MSP QF</v>
      </c>
      <c r="Y457" s="60" t="e">
        <v>#N/A</v>
      </c>
      <c r="Z457" s="51" t="str">
        <f t="shared" si="121"/>
        <v>Oregon Pre-Merger QF</v>
      </c>
      <c r="AA457" s="60" t="e">
        <v>#N/A</v>
      </c>
      <c r="AB457" s="51" t="str">
        <f t="shared" si="122"/>
        <v>Oregon Post-Merger Pre-MSP QF</v>
      </c>
      <c r="AC457" s="60" t="e">
        <v>#N/A</v>
      </c>
      <c r="AD457" s="51" t="str">
        <f t="shared" si="123"/>
        <v>Oregon Post-MSP QF</v>
      </c>
      <c r="AG457" s="62" t="str">
        <f t="shared" si="124"/>
        <v>Hide Row</v>
      </c>
    </row>
    <row r="458" spans="2:33">
      <c r="B458" s="84"/>
      <c r="C458" s="85" t="s">
        <v>281</v>
      </c>
      <c r="E458" s="59">
        <f t="shared" si="117"/>
        <v>0</v>
      </c>
      <c r="F458" s="59">
        <v>0</v>
      </c>
      <c r="G458" s="59">
        <v>0</v>
      </c>
      <c r="H458" s="59">
        <v>0</v>
      </c>
      <c r="I458" s="59">
        <v>0</v>
      </c>
      <c r="J458" s="59">
        <v>0</v>
      </c>
      <c r="K458" s="59">
        <v>0</v>
      </c>
      <c r="L458" s="59">
        <v>0</v>
      </c>
      <c r="M458" s="59">
        <v>0</v>
      </c>
      <c r="N458" s="59">
        <v>0</v>
      </c>
      <c r="O458" s="59">
        <v>0</v>
      </c>
      <c r="P458" s="59">
        <v>0</v>
      </c>
      <c r="Q458" s="59">
        <v>0</v>
      </c>
      <c r="S458" s="51" t="b">
        <f t="shared" si="118"/>
        <v>1</v>
      </c>
      <c r="U458" s="60" t="e">
        <v>#N/A</v>
      </c>
      <c r="V458" s="51" t="str">
        <f t="shared" si="119"/>
        <v>Utah Post-MSP Solar QF</v>
      </c>
      <c r="W458" s="60" t="e">
        <v>#N/A</v>
      </c>
      <c r="X458" s="51" t="str">
        <f t="shared" si="120"/>
        <v>Utah Pre-MSP QF</v>
      </c>
      <c r="Y458" s="60" t="e">
        <v>#N/A</v>
      </c>
      <c r="Z458" s="51" t="str">
        <f t="shared" si="121"/>
        <v>Utah Pre-Merger QF</v>
      </c>
      <c r="AA458" s="60" t="e">
        <v>#N/A</v>
      </c>
      <c r="AB458" s="51" t="str">
        <f t="shared" si="122"/>
        <v>Utah Post-Merger Pre-MSP QF</v>
      </c>
      <c r="AC458" s="60" t="e">
        <v>#N/A</v>
      </c>
      <c r="AD458" s="51" t="str">
        <f t="shared" si="123"/>
        <v>Utah Post-MSP QF</v>
      </c>
      <c r="AG458" s="62" t="str">
        <f t="shared" si="124"/>
        <v>Hide Row</v>
      </c>
    </row>
    <row r="459" spans="2:33">
      <c r="B459" s="84"/>
      <c r="C459" s="85" t="s">
        <v>287</v>
      </c>
      <c r="E459" s="59">
        <f t="shared" si="117"/>
        <v>15888.179227199998</v>
      </c>
      <c r="F459" s="59">
        <v>880.56</v>
      </c>
      <c r="G459" s="59">
        <v>1301.2560000000001</v>
      </c>
      <c r="H459" s="59">
        <v>1868.4</v>
      </c>
      <c r="I459" s="59">
        <v>2303.4241487999998</v>
      </c>
      <c r="J459" s="59">
        <v>2423.9520000000002</v>
      </c>
      <c r="K459" s="59">
        <v>2084.4</v>
      </c>
      <c r="L459" s="59">
        <v>1201.5600744000001</v>
      </c>
      <c r="M459" s="59">
        <v>766.42300799999998</v>
      </c>
      <c r="N459" s="59">
        <v>764.83199999999999</v>
      </c>
      <c r="O459" s="59">
        <v>764.83199999999999</v>
      </c>
      <c r="P459" s="59">
        <v>764.73605520000001</v>
      </c>
      <c r="Q459" s="59">
        <v>763.80394079999996</v>
      </c>
      <c r="S459" s="51" t="b">
        <f t="shared" si="118"/>
        <v>1</v>
      </c>
      <c r="U459" s="60" t="e">
        <v>#N/A</v>
      </c>
      <c r="V459" s="51" t="str">
        <f t="shared" si="119"/>
        <v>Washington QF</v>
      </c>
      <c r="W459" s="60" t="e">
        <v>#N/A</v>
      </c>
      <c r="X459" s="51" t="str">
        <f t="shared" si="120"/>
        <v>Washington Pre-MSP QF</v>
      </c>
      <c r="Y459" s="60">
        <v>28</v>
      </c>
      <c r="Z459" s="51" t="str">
        <f t="shared" si="121"/>
        <v>Washington Pre-Merger QF</v>
      </c>
      <c r="AA459" s="60">
        <v>26</v>
      </c>
      <c r="AB459" s="51" t="str">
        <f t="shared" si="122"/>
        <v>Washington Post-Merger Pre-MSP QF</v>
      </c>
      <c r="AC459" s="60">
        <v>27</v>
      </c>
      <c r="AD459" s="51" t="str">
        <f t="shared" si="123"/>
        <v>Washington Post-MSP QF</v>
      </c>
      <c r="AG459" s="62" t="str">
        <f t="shared" si="124"/>
        <v/>
      </c>
    </row>
    <row r="460" spans="2:33">
      <c r="B460" s="84"/>
      <c r="C460" s="85" t="s">
        <v>293</v>
      </c>
      <c r="E460" s="59">
        <f t="shared" si="117"/>
        <v>0</v>
      </c>
      <c r="F460" s="59">
        <v>0</v>
      </c>
      <c r="G460" s="59">
        <v>0</v>
      </c>
      <c r="H460" s="59">
        <v>0</v>
      </c>
      <c r="I460" s="59">
        <v>0</v>
      </c>
      <c r="J460" s="59">
        <v>0</v>
      </c>
      <c r="K460" s="59">
        <v>0</v>
      </c>
      <c r="L460" s="59">
        <v>0</v>
      </c>
      <c r="M460" s="59">
        <v>0</v>
      </c>
      <c r="N460" s="59">
        <v>0</v>
      </c>
      <c r="O460" s="59">
        <v>0</v>
      </c>
      <c r="P460" s="59">
        <v>0</v>
      </c>
      <c r="Q460" s="59">
        <v>0</v>
      </c>
      <c r="S460" s="51" t="b">
        <f t="shared" si="118"/>
        <v>1</v>
      </c>
      <c r="U460" s="60" t="e">
        <v>#N/A</v>
      </c>
      <c r="V460" s="51" t="str">
        <f t="shared" si="119"/>
        <v>Wyoming QF</v>
      </c>
      <c r="W460" s="60" t="e">
        <v>#N/A</v>
      </c>
      <c r="X460" s="51" t="str">
        <f t="shared" si="120"/>
        <v>Wyoming Pre-MSP QF</v>
      </c>
      <c r="Y460" s="60" t="e">
        <v>#N/A</v>
      </c>
      <c r="Z460" s="51" t="str">
        <f t="shared" si="121"/>
        <v>Wyoming Pre-Merger QF</v>
      </c>
      <c r="AA460" s="60" t="e">
        <v>#N/A</v>
      </c>
      <c r="AB460" s="51" t="str">
        <f t="shared" si="122"/>
        <v>Wyoming Post-Merger Pre-MSP QF</v>
      </c>
      <c r="AC460" s="60" t="e">
        <v>#N/A</v>
      </c>
      <c r="AD460" s="51" t="str">
        <f t="shared" si="123"/>
        <v>Wyoming Post-MSP QF</v>
      </c>
      <c r="AG460" s="62" t="str">
        <f t="shared" si="124"/>
        <v>Hide Row</v>
      </c>
    </row>
    <row r="461" spans="2:33">
      <c r="C461" s="85" t="s">
        <v>299</v>
      </c>
      <c r="E461" s="59">
        <f t="shared" si="117"/>
        <v>0</v>
      </c>
      <c r="F461" s="59">
        <v>0</v>
      </c>
      <c r="G461" s="59">
        <v>0</v>
      </c>
      <c r="H461" s="59">
        <v>0</v>
      </c>
      <c r="I461" s="59">
        <v>0</v>
      </c>
      <c r="J461" s="59">
        <v>0</v>
      </c>
      <c r="K461" s="59">
        <v>0</v>
      </c>
      <c r="L461" s="59">
        <v>0</v>
      </c>
      <c r="M461" s="59">
        <v>0</v>
      </c>
      <c r="N461" s="59">
        <v>0</v>
      </c>
      <c r="O461" s="59">
        <v>0</v>
      </c>
      <c r="P461" s="59">
        <v>0</v>
      </c>
      <c r="Q461" s="59">
        <v>0</v>
      </c>
      <c r="S461" s="51" t="b">
        <f t="shared" si="118"/>
        <v>1</v>
      </c>
      <c r="U461" s="60" t="e">
        <v>#N/A</v>
      </c>
      <c r="V461" s="51" t="str">
        <f t="shared" si="119"/>
        <v>Biomass (QF)</v>
      </c>
      <c r="W461" s="60" t="e">
        <v>#N/A</v>
      </c>
      <c r="X461" s="51" t="str">
        <f t="shared" si="120"/>
        <v>Biomass Non-Generation</v>
      </c>
      <c r="Y461" s="60" t="e">
        <v>#N/A</v>
      </c>
      <c r="Z461" s="51" t="s">
        <v>299</v>
      </c>
      <c r="AA461" s="60"/>
      <c r="AC461" s="54"/>
      <c r="AG461" s="62" t="str">
        <f t="shared" si="124"/>
        <v>Hide Row</v>
      </c>
    </row>
    <row r="462" spans="2:33">
      <c r="C462" s="85" t="s">
        <v>302</v>
      </c>
      <c r="E462" s="59">
        <f t="shared" ref="E462" si="125">SUM(F462:Q462)</f>
        <v>0</v>
      </c>
      <c r="F462" s="59">
        <v>0</v>
      </c>
      <c r="G462" s="59">
        <v>0</v>
      </c>
      <c r="H462" s="59">
        <v>0</v>
      </c>
      <c r="I462" s="59">
        <v>0</v>
      </c>
      <c r="J462" s="59">
        <v>0</v>
      </c>
      <c r="K462" s="59">
        <v>0</v>
      </c>
      <c r="L462" s="59">
        <v>0</v>
      </c>
      <c r="M462" s="59">
        <v>0</v>
      </c>
      <c r="N462" s="59">
        <v>0</v>
      </c>
      <c r="O462" s="59">
        <v>0</v>
      </c>
      <c r="P462" s="59">
        <v>0</v>
      </c>
      <c r="Q462" s="59">
        <v>0</v>
      </c>
      <c r="S462" s="51" t="b">
        <f t="shared" si="118"/>
        <v>1</v>
      </c>
      <c r="U462" s="60" t="e">
        <v>#N/A</v>
      </c>
      <c r="V462" s="51" t="str">
        <f t="shared" si="119"/>
        <v>Pine City Wind QF</v>
      </c>
      <c r="W462" s="60" t="e">
        <v>#N/A</v>
      </c>
      <c r="X462" s="51" t="s">
        <v>304</v>
      </c>
      <c r="Y462" s="60" t="e">
        <v>#N/A</v>
      </c>
      <c r="Z462" s="84" t="s">
        <v>305</v>
      </c>
      <c r="AA462" s="60" t="e">
        <v>#N/A</v>
      </c>
      <c r="AB462" s="84" t="s">
        <v>306</v>
      </c>
      <c r="AC462" s="60"/>
      <c r="AG462" s="62" t="str">
        <f t="shared" si="124"/>
        <v>Hide Row</v>
      </c>
    </row>
    <row r="463" spans="2:33">
      <c r="C463" s="85" t="s">
        <v>307</v>
      </c>
      <c r="E463" s="59">
        <f t="shared" ref="E463" si="126">SUM(F463:Q463)</f>
        <v>0</v>
      </c>
      <c r="F463" s="59">
        <v>0</v>
      </c>
      <c r="G463" s="59">
        <v>0</v>
      </c>
      <c r="H463" s="59">
        <v>0</v>
      </c>
      <c r="I463" s="59">
        <v>0</v>
      </c>
      <c r="J463" s="59">
        <v>0</v>
      </c>
      <c r="K463" s="59">
        <v>0</v>
      </c>
      <c r="L463" s="59">
        <v>0</v>
      </c>
      <c r="M463" s="59">
        <v>0</v>
      </c>
      <c r="N463" s="59">
        <v>0</v>
      </c>
      <c r="O463" s="59">
        <v>0</v>
      </c>
      <c r="P463" s="59">
        <v>0</v>
      </c>
      <c r="Q463" s="59">
        <v>0</v>
      </c>
      <c r="S463" s="51" t="b">
        <f t="shared" si="118"/>
        <v>1</v>
      </c>
      <c r="U463" s="60" t="e">
        <v>#N/A</v>
      </c>
      <c r="V463" s="51" t="str">
        <f t="shared" si="119"/>
        <v>Champlin Blue Mtn Wind QF</v>
      </c>
      <c r="W463" s="60" t="e">
        <v>#N/A</v>
      </c>
      <c r="X463" s="51" t="s">
        <v>304</v>
      </c>
      <c r="Y463" s="60" t="e">
        <v>#N/A</v>
      </c>
      <c r="Z463" s="84" t="s">
        <v>305</v>
      </c>
      <c r="AA463" s="60" t="e">
        <v>#N/A</v>
      </c>
      <c r="AB463" s="84" t="s">
        <v>306</v>
      </c>
      <c r="AC463" s="60"/>
      <c r="AG463" s="62" t="str">
        <f t="shared" si="124"/>
        <v>Hide Row</v>
      </c>
    </row>
    <row r="464" spans="2:33">
      <c r="C464" s="85" t="s">
        <v>308</v>
      </c>
      <c r="E464" s="59">
        <f>SUM(F464:Q464)</f>
        <v>0</v>
      </c>
      <c r="F464" s="59">
        <v>0</v>
      </c>
      <c r="G464" s="59">
        <v>0</v>
      </c>
      <c r="H464" s="59">
        <v>0</v>
      </c>
      <c r="I464" s="59">
        <v>0</v>
      </c>
      <c r="J464" s="59">
        <v>0</v>
      </c>
      <c r="K464" s="59">
        <v>0</v>
      </c>
      <c r="L464" s="59">
        <v>0</v>
      </c>
      <c r="M464" s="59">
        <v>0</v>
      </c>
      <c r="N464" s="59">
        <v>0</v>
      </c>
      <c r="O464" s="59">
        <v>0</v>
      </c>
      <c r="P464" s="59">
        <v>0</v>
      </c>
      <c r="Q464" s="59">
        <v>0</v>
      </c>
      <c r="S464" s="51" t="b">
        <f t="shared" si="118"/>
        <v>1</v>
      </c>
      <c r="U464" s="60" t="e">
        <v>#N/A</v>
      </c>
      <c r="V464" s="51" t="str">
        <f t="shared" si="119"/>
        <v>Chevron Wind QF</v>
      </c>
      <c r="W464" s="60"/>
      <c r="Y464" s="60"/>
      <c r="AA464" s="60"/>
      <c r="AC464" s="54"/>
      <c r="AG464" s="62" t="str">
        <f>IF(OR(ISNUMBER(U464),ISNUMBER(W464),ISNUMBER(Y464),ISNUMBER(AA464),ISNUMBER(AC464)),"","Hide Row")</f>
        <v>Hide Row</v>
      </c>
    </row>
    <row r="465" spans="3:33" hidden="1">
      <c r="C465" s="85" t="s">
        <v>310</v>
      </c>
      <c r="E465" s="59">
        <f t="shared" si="117"/>
        <v>0</v>
      </c>
      <c r="F465" s="59">
        <v>0</v>
      </c>
      <c r="G465" s="59">
        <v>0</v>
      </c>
      <c r="H465" s="59">
        <v>0</v>
      </c>
      <c r="I465" s="59">
        <v>0</v>
      </c>
      <c r="J465" s="59">
        <v>0</v>
      </c>
      <c r="K465" s="59">
        <v>0</v>
      </c>
      <c r="L465" s="59">
        <v>0</v>
      </c>
      <c r="M465" s="59">
        <v>0</v>
      </c>
      <c r="N465" s="59">
        <v>0</v>
      </c>
      <c r="O465" s="59">
        <v>0</v>
      </c>
      <c r="P465" s="59">
        <v>0</v>
      </c>
      <c r="Q465" s="59">
        <v>0</v>
      </c>
      <c r="S465" s="51" t="b">
        <f t="shared" si="118"/>
        <v>1</v>
      </c>
      <c r="U465" s="60" t="e">
        <v>#N/A</v>
      </c>
      <c r="V465" s="51" t="str">
        <f t="shared" si="119"/>
        <v>Co-Gen II QF</v>
      </c>
      <c r="W465" s="60" t="e">
        <v>#N/A</v>
      </c>
      <c r="X465" s="51">
        <f>X135</f>
        <v>0</v>
      </c>
      <c r="Y465" s="60"/>
      <c r="AA465" s="60"/>
      <c r="AC465" s="54"/>
      <c r="AG465" s="62" t="str">
        <f t="shared" si="124"/>
        <v>Hide Row</v>
      </c>
    </row>
    <row r="466" spans="3:33">
      <c r="C466" s="85" t="s">
        <v>312</v>
      </c>
      <c r="E466" s="59">
        <f t="shared" si="117"/>
        <v>0</v>
      </c>
      <c r="F466" s="59">
        <v>0</v>
      </c>
      <c r="G466" s="59">
        <v>0</v>
      </c>
      <c r="H466" s="59">
        <v>0</v>
      </c>
      <c r="I466" s="59">
        <v>0</v>
      </c>
      <c r="J466" s="59">
        <v>0</v>
      </c>
      <c r="K466" s="59">
        <v>0</v>
      </c>
      <c r="L466" s="59">
        <v>0</v>
      </c>
      <c r="M466" s="59">
        <v>0</v>
      </c>
      <c r="N466" s="59">
        <v>0</v>
      </c>
      <c r="O466" s="59">
        <v>0</v>
      </c>
      <c r="P466" s="59">
        <v>0</v>
      </c>
      <c r="Q466" s="59">
        <v>0</v>
      </c>
      <c r="S466" s="51" t="b">
        <f t="shared" si="118"/>
        <v>1</v>
      </c>
      <c r="U466" s="60" t="e">
        <v>#N/A</v>
      </c>
      <c r="V466" s="51" t="str">
        <f t="shared" si="119"/>
        <v>Douglas County Forest Products QF</v>
      </c>
      <c r="W466" s="60"/>
      <c r="Y466" s="60"/>
      <c r="Z466" s="63"/>
      <c r="AA466" s="60"/>
      <c r="AC466" s="54"/>
      <c r="AG466" s="62" t="str">
        <f t="shared" si="124"/>
        <v>Hide Row</v>
      </c>
    </row>
    <row r="467" spans="3:33" hidden="1">
      <c r="C467" s="85" t="s">
        <v>314</v>
      </c>
      <c r="E467" s="59">
        <f t="shared" si="117"/>
        <v>0</v>
      </c>
      <c r="F467" s="59">
        <v>0</v>
      </c>
      <c r="G467" s="59">
        <v>0</v>
      </c>
      <c r="H467" s="59">
        <v>0</v>
      </c>
      <c r="I467" s="59">
        <v>0</v>
      </c>
      <c r="J467" s="59">
        <v>0</v>
      </c>
      <c r="K467" s="59">
        <v>0</v>
      </c>
      <c r="L467" s="59">
        <v>0</v>
      </c>
      <c r="M467" s="59">
        <v>0</v>
      </c>
      <c r="N467" s="59">
        <v>0</v>
      </c>
      <c r="O467" s="59">
        <v>0</v>
      </c>
      <c r="P467" s="59">
        <v>0</v>
      </c>
      <c r="Q467" s="59">
        <v>0</v>
      </c>
      <c r="S467" s="51" t="b">
        <f t="shared" si="118"/>
        <v>1</v>
      </c>
      <c r="U467" s="60" t="e">
        <v>#N/A</v>
      </c>
      <c r="V467" s="51" t="str">
        <f t="shared" si="119"/>
        <v>D.R. Johnson (QF)</v>
      </c>
      <c r="W467" s="60" t="e">
        <v>#N/A</v>
      </c>
      <c r="X467" s="51">
        <f>X137</f>
        <v>0</v>
      </c>
      <c r="Y467" s="60"/>
      <c r="AA467" s="60"/>
      <c r="AC467" s="54"/>
      <c r="AG467" s="62" t="str">
        <f t="shared" si="124"/>
        <v>Hide Row</v>
      </c>
    </row>
    <row r="468" spans="3:33">
      <c r="C468" s="85" t="s">
        <v>316</v>
      </c>
      <c r="E468" s="59">
        <f t="shared" si="117"/>
        <v>0</v>
      </c>
      <c r="F468" s="59">
        <v>0</v>
      </c>
      <c r="G468" s="59">
        <v>0</v>
      </c>
      <c r="H468" s="59">
        <v>0</v>
      </c>
      <c r="I468" s="59">
        <v>0</v>
      </c>
      <c r="J468" s="59">
        <v>0</v>
      </c>
      <c r="K468" s="59">
        <v>0</v>
      </c>
      <c r="L468" s="59">
        <v>0</v>
      </c>
      <c r="M468" s="59">
        <v>0</v>
      </c>
      <c r="N468" s="59">
        <v>0</v>
      </c>
      <c r="O468" s="59">
        <v>0</v>
      </c>
      <c r="P468" s="59">
        <v>0</v>
      </c>
      <c r="Q468" s="59">
        <v>0</v>
      </c>
      <c r="S468" s="51" t="b">
        <f t="shared" si="118"/>
        <v>1</v>
      </c>
      <c r="U468" s="60" t="e">
        <v>#N/A</v>
      </c>
      <c r="V468" s="51" t="str">
        <f t="shared" si="119"/>
        <v>Evergreen Biopower QF</v>
      </c>
      <c r="W468" s="60"/>
      <c r="Y468" s="60"/>
      <c r="AA468" s="60"/>
      <c r="AC468" s="54"/>
      <c r="AG468" s="62" t="str">
        <f t="shared" si="124"/>
        <v>Hide Row</v>
      </c>
    </row>
    <row r="469" spans="3:33" hidden="1">
      <c r="C469" s="85" t="s">
        <v>318</v>
      </c>
      <c r="E469" s="59">
        <f t="shared" si="117"/>
        <v>0</v>
      </c>
      <c r="F469" s="59">
        <v>0</v>
      </c>
      <c r="G469" s="59">
        <v>0</v>
      </c>
      <c r="H469" s="59">
        <v>0</v>
      </c>
      <c r="I469" s="59">
        <v>0</v>
      </c>
      <c r="J469" s="59">
        <v>0</v>
      </c>
      <c r="K469" s="59">
        <v>0</v>
      </c>
      <c r="L469" s="59">
        <v>0</v>
      </c>
      <c r="M469" s="59">
        <v>0</v>
      </c>
      <c r="N469" s="59">
        <v>0</v>
      </c>
      <c r="O469" s="59">
        <v>0</v>
      </c>
      <c r="P469" s="59">
        <v>0</v>
      </c>
      <c r="Q469" s="59">
        <v>0</v>
      </c>
      <c r="S469" s="51" t="b">
        <f t="shared" si="118"/>
        <v>1</v>
      </c>
      <c r="U469" s="60" t="e">
        <v>#N/A</v>
      </c>
      <c r="V469" s="51" t="str">
        <f t="shared" si="119"/>
        <v>ExxonMobil QF</v>
      </c>
      <c r="W469" s="60"/>
      <c r="Y469" s="60"/>
      <c r="AA469" s="60"/>
      <c r="AC469" s="54"/>
      <c r="AG469" s="62" t="str">
        <f t="shared" si="124"/>
        <v>Hide Row</v>
      </c>
    </row>
    <row r="470" spans="3:33">
      <c r="C470" s="85" t="s">
        <v>320</v>
      </c>
      <c r="E470" s="59">
        <f t="shared" ref="E470" si="127">SUM(F470:Q470)</f>
        <v>0</v>
      </c>
      <c r="F470" s="59">
        <v>0</v>
      </c>
      <c r="G470" s="59">
        <v>0</v>
      </c>
      <c r="H470" s="59">
        <v>0</v>
      </c>
      <c r="I470" s="59">
        <v>0</v>
      </c>
      <c r="J470" s="59">
        <v>0</v>
      </c>
      <c r="K470" s="59">
        <v>0</v>
      </c>
      <c r="L470" s="59">
        <v>0</v>
      </c>
      <c r="M470" s="59">
        <v>0</v>
      </c>
      <c r="N470" s="59">
        <v>0</v>
      </c>
      <c r="O470" s="59">
        <v>0</v>
      </c>
      <c r="P470" s="59">
        <v>0</v>
      </c>
      <c r="Q470" s="59">
        <v>0</v>
      </c>
      <c r="S470" s="51" t="b">
        <f t="shared" si="118"/>
        <v>1</v>
      </c>
      <c r="U470" s="60" t="e">
        <v>#N/A</v>
      </c>
      <c r="V470" s="51" t="str">
        <f t="shared" si="119"/>
        <v>Five Pine Wind QF</v>
      </c>
      <c r="W470" s="60"/>
      <c r="Y470" s="60"/>
      <c r="AA470" s="60"/>
      <c r="AC470" s="54"/>
      <c r="AG470" s="62" t="str">
        <f t="shared" si="124"/>
        <v>Hide Row</v>
      </c>
    </row>
    <row r="471" spans="3:33">
      <c r="C471" s="85" t="s">
        <v>321</v>
      </c>
      <c r="E471" s="59">
        <f t="shared" ref="E471" si="128">SUM(F471:Q471)</f>
        <v>0</v>
      </c>
      <c r="F471" s="59">
        <v>0</v>
      </c>
      <c r="G471" s="59">
        <v>0</v>
      </c>
      <c r="H471" s="59">
        <v>0</v>
      </c>
      <c r="I471" s="59">
        <v>0</v>
      </c>
      <c r="J471" s="59">
        <v>0</v>
      </c>
      <c r="K471" s="59">
        <v>0</v>
      </c>
      <c r="L471" s="59">
        <v>0</v>
      </c>
      <c r="M471" s="59">
        <v>0</v>
      </c>
      <c r="N471" s="59">
        <v>0</v>
      </c>
      <c r="O471" s="59">
        <v>0</v>
      </c>
      <c r="P471" s="59">
        <v>0</v>
      </c>
      <c r="Q471" s="59">
        <v>0</v>
      </c>
      <c r="S471" s="51" t="b">
        <f t="shared" si="118"/>
        <v>1</v>
      </c>
      <c r="U471" s="60" t="e">
        <v>#N/A</v>
      </c>
      <c r="V471" s="51" t="str">
        <f t="shared" si="119"/>
        <v>Kennecott Refinery QF</v>
      </c>
      <c r="W471" s="60"/>
      <c r="Y471" s="60"/>
      <c r="AA471" s="60"/>
      <c r="AC471" s="54"/>
      <c r="AG471" s="62" t="str">
        <f t="shared" si="124"/>
        <v>Hide Row</v>
      </c>
    </row>
    <row r="472" spans="3:33">
      <c r="C472" s="85" t="s">
        <v>322</v>
      </c>
      <c r="E472" s="59">
        <f t="shared" si="117"/>
        <v>0</v>
      </c>
      <c r="F472" s="59">
        <v>0</v>
      </c>
      <c r="G472" s="59">
        <v>0</v>
      </c>
      <c r="H472" s="59">
        <v>0</v>
      </c>
      <c r="I472" s="59">
        <v>0</v>
      </c>
      <c r="J472" s="59">
        <v>0</v>
      </c>
      <c r="K472" s="59">
        <v>0</v>
      </c>
      <c r="L472" s="59">
        <v>0</v>
      </c>
      <c r="M472" s="59">
        <v>0</v>
      </c>
      <c r="N472" s="59">
        <v>0</v>
      </c>
      <c r="O472" s="59">
        <v>0</v>
      </c>
      <c r="P472" s="59">
        <v>0</v>
      </c>
      <c r="Q472" s="59">
        <v>0</v>
      </c>
      <c r="S472" s="51" t="b">
        <f t="shared" si="118"/>
        <v>1</v>
      </c>
      <c r="U472" s="60" t="e">
        <v>#N/A</v>
      </c>
      <c r="V472" s="51" t="str">
        <f t="shared" si="119"/>
        <v>Kennecott Smelter QF</v>
      </c>
      <c r="W472" s="60" t="e">
        <v>#N/A</v>
      </c>
      <c r="X472" s="51" t="str">
        <f>X142</f>
        <v>Kennecott QF</v>
      </c>
      <c r="Y472" s="60"/>
      <c r="AA472" s="60"/>
      <c r="AC472" s="54"/>
      <c r="AG472" s="62" t="str">
        <f t="shared" si="124"/>
        <v>Hide Row</v>
      </c>
    </row>
    <row r="473" spans="3:33">
      <c r="C473" s="85" t="s">
        <v>324</v>
      </c>
      <c r="E473" s="59">
        <f t="shared" ref="E473:E475" si="129">SUM(F473:Q473)</f>
        <v>0</v>
      </c>
      <c r="F473" s="59">
        <v>0</v>
      </c>
      <c r="G473" s="59">
        <v>0</v>
      </c>
      <c r="H473" s="59">
        <v>0</v>
      </c>
      <c r="I473" s="59">
        <v>0</v>
      </c>
      <c r="J473" s="59">
        <v>0</v>
      </c>
      <c r="K473" s="59">
        <v>0</v>
      </c>
      <c r="L473" s="59">
        <v>0</v>
      </c>
      <c r="M473" s="59">
        <v>0</v>
      </c>
      <c r="N473" s="59">
        <v>0</v>
      </c>
      <c r="O473" s="59">
        <v>0</v>
      </c>
      <c r="P473" s="59">
        <v>0</v>
      </c>
      <c r="Q473" s="59">
        <v>0</v>
      </c>
      <c r="S473" s="51" t="b">
        <f t="shared" si="118"/>
        <v>1</v>
      </c>
      <c r="U473" s="60" t="e">
        <v>#N/A</v>
      </c>
      <c r="V473" s="51" t="str">
        <f t="shared" si="119"/>
        <v>Latigo Wind Park QF</v>
      </c>
      <c r="W473" s="60"/>
      <c r="Y473" s="60"/>
      <c r="AA473" s="60"/>
      <c r="AC473" s="54"/>
      <c r="AG473" s="62"/>
    </row>
    <row r="474" spans="3:33">
      <c r="C474" s="85" t="s">
        <v>325</v>
      </c>
      <c r="E474" s="59">
        <f t="shared" si="129"/>
        <v>0</v>
      </c>
      <c r="F474" s="59">
        <v>0</v>
      </c>
      <c r="G474" s="59">
        <v>0</v>
      </c>
      <c r="H474" s="59">
        <v>0</v>
      </c>
      <c r="I474" s="59">
        <v>0</v>
      </c>
      <c r="J474" s="59">
        <v>0</v>
      </c>
      <c r="K474" s="59">
        <v>0</v>
      </c>
      <c r="L474" s="59">
        <v>0</v>
      </c>
      <c r="M474" s="59">
        <v>0</v>
      </c>
      <c r="N474" s="59">
        <v>0</v>
      </c>
      <c r="O474" s="59">
        <v>0</v>
      </c>
      <c r="P474" s="59">
        <v>0</v>
      </c>
      <c r="Q474" s="59">
        <v>0</v>
      </c>
      <c r="S474" s="51" t="b">
        <f t="shared" si="118"/>
        <v>1</v>
      </c>
      <c r="U474" s="60" t="e">
        <v>#N/A</v>
      </c>
      <c r="V474" s="51" t="str">
        <f t="shared" si="119"/>
        <v>Long Ridge Wind I QF</v>
      </c>
      <c r="W474" s="60"/>
      <c r="Y474" s="60"/>
      <c r="AA474" s="60"/>
      <c r="AC474" s="54"/>
      <c r="AG474" s="62"/>
    </row>
    <row r="475" spans="3:33">
      <c r="C475" s="85" t="s">
        <v>326</v>
      </c>
      <c r="E475" s="59">
        <f t="shared" si="129"/>
        <v>0</v>
      </c>
      <c r="F475" s="59">
        <v>0</v>
      </c>
      <c r="G475" s="59">
        <v>0</v>
      </c>
      <c r="H475" s="59">
        <v>0</v>
      </c>
      <c r="I475" s="59">
        <v>0</v>
      </c>
      <c r="J475" s="59">
        <v>0</v>
      </c>
      <c r="K475" s="59">
        <v>0</v>
      </c>
      <c r="L475" s="59">
        <v>0</v>
      </c>
      <c r="M475" s="59">
        <v>0</v>
      </c>
      <c r="N475" s="59">
        <v>0</v>
      </c>
      <c r="O475" s="59">
        <v>0</v>
      </c>
      <c r="P475" s="59">
        <v>0</v>
      </c>
      <c r="Q475" s="59">
        <v>0</v>
      </c>
      <c r="S475" s="51" t="b">
        <f t="shared" si="118"/>
        <v>1</v>
      </c>
      <c r="U475" s="60" t="e">
        <v>#N/A</v>
      </c>
      <c r="V475" s="51" t="str">
        <f t="shared" si="119"/>
        <v>Long Ridge Wind II QF</v>
      </c>
      <c r="W475" s="60"/>
      <c r="Y475" s="60"/>
      <c r="AA475" s="60"/>
      <c r="AC475" s="54"/>
      <c r="AG475" s="62"/>
    </row>
    <row r="476" spans="3:33">
      <c r="C476" s="85" t="s">
        <v>327</v>
      </c>
      <c r="E476" s="59">
        <f t="shared" si="117"/>
        <v>0</v>
      </c>
      <c r="F476" s="59">
        <v>0</v>
      </c>
      <c r="G476" s="59">
        <v>0</v>
      </c>
      <c r="H476" s="59">
        <v>0</v>
      </c>
      <c r="I476" s="59">
        <v>0</v>
      </c>
      <c r="J476" s="59">
        <v>0</v>
      </c>
      <c r="K476" s="59">
        <v>0</v>
      </c>
      <c r="L476" s="59">
        <v>0</v>
      </c>
      <c r="M476" s="59">
        <v>0</v>
      </c>
      <c r="N476" s="59">
        <v>0</v>
      </c>
      <c r="O476" s="59">
        <v>0</v>
      </c>
      <c r="P476" s="59">
        <v>0</v>
      </c>
      <c r="Q476" s="59">
        <v>0</v>
      </c>
      <c r="S476" s="51" t="b">
        <f t="shared" si="118"/>
        <v>1</v>
      </c>
      <c r="U476" s="60" t="e">
        <v>#N/A</v>
      </c>
      <c r="V476" s="51" t="str">
        <f t="shared" si="119"/>
        <v>Mariah Wind QF</v>
      </c>
      <c r="W476" s="60"/>
      <c r="Y476" s="60"/>
      <c r="AA476" s="60"/>
      <c r="AC476" s="54"/>
      <c r="AG476" s="62" t="str">
        <f t="shared" si="124"/>
        <v>Hide Row</v>
      </c>
    </row>
    <row r="477" spans="3:33">
      <c r="C477" s="85" t="s">
        <v>328</v>
      </c>
      <c r="E477" s="59">
        <f t="shared" si="117"/>
        <v>0</v>
      </c>
      <c r="F477" s="59">
        <v>0</v>
      </c>
      <c r="G477" s="59">
        <v>0</v>
      </c>
      <c r="H477" s="59">
        <v>0</v>
      </c>
      <c r="I477" s="59">
        <v>0</v>
      </c>
      <c r="J477" s="59">
        <v>0</v>
      </c>
      <c r="K477" s="59">
        <v>0</v>
      </c>
      <c r="L477" s="59">
        <v>0</v>
      </c>
      <c r="M477" s="59">
        <v>0</v>
      </c>
      <c r="N477" s="59">
        <v>0</v>
      </c>
      <c r="O477" s="59">
        <v>0</v>
      </c>
      <c r="P477" s="59">
        <v>0</v>
      </c>
      <c r="Q477" s="59">
        <v>0</v>
      </c>
      <c r="S477" s="51" t="b">
        <f t="shared" si="118"/>
        <v>1</v>
      </c>
      <c r="U477" s="60" t="e">
        <v>#N/A</v>
      </c>
      <c r="V477" s="51" t="str">
        <f t="shared" si="119"/>
        <v>Orem Family Wind QF</v>
      </c>
      <c r="W477" s="60"/>
      <c r="Y477" s="60"/>
      <c r="AA477" s="60"/>
      <c r="AC477" s="54"/>
      <c r="AG477" s="62" t="str">
        <f t="shared" si="124"/>
        <v>Hide Row</v>
      </c>
    </row>
    <row r="478" spans="3:33">
      <c r="C478" s="85" t="s">
        <v>329</v>
      </c>
      <c r="E478" s="59">
        <f t="shared" ref="E478" si="130">SUM(F478:Q478)</f>
        <v>0</v>
      </c>
      <c r="F478" s="59">
        <v>0</v>
      </c>
      <c r="G478" s="59">
        <v>0</v>
      </c>
      <c r="H478" s="59">
        <v>0</v>
      </c>
      <c r="I478" s="59">
        <v>0</v>
      </c>
      <c r="J478" s="59">
        <v>0</v>
      </c>
      <c r="K478" s="59">
        <v>0</v>
      </c>
      <c r="L478" s="59">
        <v>0</v>
      </c>
      <c r="M478" s="59">
        <v>0</v>
      </c>
      <c r="N478" s="59">
        <v>0</v>
      </c>
      <c r="O478" s="59">
        <v>0</v>
      </c>
      <c r="P478" s="59">
        <v>0</v>
      </c>
      <c r="Q478" s="59">
        <v>0</v>
      </c>
      <c r="S478" s="51" t="b">
        <f t="shared" si="118"/>
        <v>1</v>
      </c>
      <c r="U478" s="60" t="e">
        <v>#N/A</v>
      </c>
      <c r="V478" s="51" t="str">
        <f t="shared" si="119"/>
        <v>North Point Wind QF</v>
      </c>
      <c r="W478" s="60"/>
      <c r="Y478" s="60"/>
      <c r="AA478" s="60"/>
      <c r="AC478" s="54"/>
      <c r="AG478" s="62" t="str">
        <f t="shared" si="124"/>
        <v>Hide Row</v>
      </c>
    </row>
    <row r="479" spans="3:33">
      <c r="C479" s="85" t="s">
        <v>330</v>
      </c>
      <c r="E479" s="59">
        <f t="shared" ref="E479" si="131">SUM(F479:Q479)</f>
        <v>0</v>
      </c>
      <c r="F479" s="59">
        <v>0</v>
      </c>
      <c r="G479" s="59">
        <v>0</v>
      </c>
      <c r="H479" s="59">
        <v>0</v>
      </c>
      <c r="I479" s="59">
        <v>0</v>
      </c>
      <c r="J479" s="59">
        <v>0</v>
      </c>
      <c r="K479" s="59">
        <v>0</v>
      </c>
      <c r="L479" s="59">
        <v>0</v>
      </c>
      <c r="M479" s="59">
        <v>0</v>
      </c>
      <c r="N479" s="59">
        <v>0</v>
      </c>
      <c r="O479" s="59">
        <v>0</v>
      </c>
      <c r="P479" s="59">
        <v>0</v>
      </c>
      <c r="Q479" s="59">
        <v>0</v>
      </c>
      <c r="S479" s="51" t="b">
        <f t="shared" si="118"/>
        <v>1</v>
      </c>
      <c r="U479" s="60" t="e">
        <v>#N/A</v>
      </c>
      <c r="V479" s="51" t="str">
        <f t="shared" si="119"/>
        <v>OM Power I Geothermal QF</v>
      </c>
      <c r="W479" s="60"/>
      <c r="Y479" s="60"/>
      <c r="AA479" s="60"/>
      <c r="AC479" s="54"/>
      <c r="AG479" s="62" t="str">
        <f t="shared" si="124"/>
        <v>Hide Row</v>
      </c>
    </row>
    <row r="480" spans="3:33">
      <c r="C480" s="85" t="s">
        <v>331</v>
      </c>
      <c r="E480" s="59">
        <f t="shared" si="117"/>
        <v>0</v>
      </c>
      <c r="F480" s="59">
        <v>0</v>
      </c>
      <c r="G480" s="59">
        <v>0</v>
      </c>
      <c r="H480" s="59">
        <v>0</v>
      </c>
      <c r="I480" s="59">
        <v>0</v>
      </c>
      <c r="J480" s="59">
        <v>0</v>
      </c>
      <c r="K480" s="59">
        <v>0</v>
      </c>
      <c r="L480" s="59">
        <v>0</v>
      </c>
      <c r="M480" s="59">
        <v>0</v>
      </c>
      <c r="N480" s="59">
        <v>0</v>
      </c>
      <c r="O480" s="59">
        <v>0</v>
      </c>
      <c r="P480" s="59">
        <v>0</v>
      </c>
      <c r="Q480" s="59">
        <v>0</v>
      </c>
      <c r="S480" s="51" t="b">
        <f t="shared" si="118"/>
        <v>1</v>
      </c>
      <c r="U480" s="60" t="e">
        <v>#N/A</v>
      </c>
      <c r="V480" s="84" t="str">
        <f>C480</f>
        <v>Oregon Wind Farm QF</v>
      </c>
      <c r="W480" s="60"/>
      <c r="Y480" s="60"/>
      <c r="AA480" s="60"/>
      <c r="AC480" s="54"/>
      <c r="AG480" s="62" t="str">
        <f t="shared" si="124"/>
        <v>Hide Row</v>
      </c>
    </row>
    <row r="481" spans="2:33" hidden="1">
      <c r="C481" s="85" t="s">
        <v>332</v>
      </c>
      <c r="E481" s="59">
        <f t="shared" ref="E481:E485" si="132">SUM(F481:Q481)</f>
        <v>0</v>
      </c>
      <c r="F481" s="59">
        <v>0</v>
      </c>
      <c r="G481" s="59">
        <v>0</v>
      </c>
      <c r="H481" s="59">
        <v>0</v>
      </c>
      <c r="I481" s="59">
        <v>0</v>
      </c>
      <c r="J481" s="59">
        <v>0</v>
      </c>
      <c r="K481" s="59">
        <v>0</v>
      </c>
      <c r="L481" s="59">
        <v>0</v>
      </c>
      <c r="M481" s="59">
        <v>0</v>
      </c>
      <c r="N481" s="59">
        <v>0</v>
      </c>
      <c r="O481" s="59">
        <v>0</v>
      </c>
      <c r="P481" s="59">
        <v>0</v>
      </c>
      <c r="Q481" s="59">
        <v>0</v>
      </c>
      <c r="S481" s="51" t="b">
        <f t="shared" si="118"/>
        <v>1</v>
      </c>
      <c r="U481" s="60" t="e">
        <v>#N/A</v>
      </c>
      <c r="V481" s="84" t="str">
        <f t="shared" ref="V481:V482" si="133">C481</f>
        <v>Pioneer Wind Park I QF</v>
      </c>
      <c r="W481" s="60"/>
      <c r="Y481" s="60"/>
      <c r="AA481" s="60"/>
      <c r="AC481" s="54"/>
      <c r="AG481" s="62" t="str">
        <f t="shared" si="124"/>
        <v>Hide Row</v>
      </c>
    </row>
    <row r="482" spans="2:33" hidden="1">
      <c r="C482" s="85" t="s">
        <v>333</v>
      </c>
      <c r="E482" s="59">
        <f t="shared" si="132"/>
        <v>0</v>
      </c>
      <c r="F482" s="59">
        <v>0</v>
      </c>
      <c r="G482" s="59">
        <v>0</v>
      </c>
      <c r="H482" s="59">
        <v>0</v>
      </c>
      <c r="I482" s="59">
        <v>0</v>
      </c>
      <c r="J482" s="59">
        <v>0</v>
      </c>
      <c r="K482" s="59">
        <v>0</v>
      </c>
      <c r="L482" s="59">
        <v>0</v>
      </c>
      <c r="M482" s="59">
        <v>0</v>
      </c>
      <c r="N482" s="59">
        <v>0</v>
      </c>
      <c r="O482" s="59">
        <v>0</v>
      </c>
      <c r="P482" s="59">
        <v>0</v>
      </c>
      <c r="Q482" s="59">
        <v>0</v>
      </c>
      <c r="S482" s="51" t="b">
        <f t="shared" si="118"/>
        <v>1</v>
      </c>
      <c r="U482" s="60" t="e">
        <v>#N/A</v>
      </c>
      <c r="V482" s="84" t="str">
        <f t="shared" si="133"/>
        <v>Pioneer Wind Park II QF</v>
      </c>
      <c r="W482" s="60"/>
      <c r="Y482" s="60"/>
      <c r="AA482" s="60"/>
      <c r="AC482" s="54"/>
      <c r="AG482" s="62" t="str">
        <f t="shared" si="124"/>
        <v>Hide Row</v>
      </c>
    </row>
    <row r="483" spans="2:33">
      <c r="C483" s="58" t="s">
        <v>334</v>
      </c>
      <c r="E483" s="59">
        <f t="shared" si="132"/>
        <v>0</v>
      </c>
      <c r="F483" s="59">
        <v>0</v>
      </c>
      <c r="G483" s="59">
        <v>0</v>
      </c>
      <c r="H483" s="59">
        <v>0</v>
      </c>
      <c r="I483" s="59">
        <v>0</v>
      </c>
      <c r="J483" s="59">
        <v>0</v>
      </c>
      <c r="K483" s="59">
        <v>0</v>
      </c>
      <c r="L483" s="59">
        <v>0</v>
      </c>
      <c r="M483" s="59">
        <v>0</v>
      </c>
      <c r="N483" s="59">
        <v>0</v>
      </c>
      <c r="O483" s="59">
        <v>0</v>
      </c>
      <c r="P483" s="59">
        <v>0</v>
      </c>
      <c r="Q483" s="59">
        <v>0</v>
      </c>
      <c r="S483" s="51" t="b">
        <f t="shared" si="118"/>
        <v>1</v>
      </c>
      <c r="U483" s="60" t="e">
        <v>#N/A</v>
      </c>
      <c r="V483" s="51" t="str">
        <f t="shared" ref="V483:V492" si="134">V153</f>
        <v>Power County North Wind QF p575612</v>
      </c>
      <c r="W483" s="60"/>
      <c r="Y483" s="60"/>
      <c r="AA483" s="60"/>
      <c r="AC483" s="54"/>
      <c r="AG483" s="62"/>
    </row>
    <row r="484" spans="2:33">
      <c r="C484" s="58" t="s">
        <v>335</v>
      </c>
      <c r="E484" s="59">
        <f t="shared" si="132"/>
        <v>0</v>
      </c>
      <c r="F484" s="59">
        <v>0</v>
      </c>
      <c r="G484" s="59">
        <v>0</v>
      </c>
      <c r="H484" s="59">
        <v>0</v>
      </c>
      <c r="I484" s="59">
        <v>0</v>
      </c>
      <c r="J484" s="59">
        <v>0</v>
      </c>
      <c r="K484" s="59">
        <v>0</v>
      </c>
      <c r="L484" s="59">
        <v>0</v>
      </c>
      <c r="M484" s="59">
        <v>0</v>
      </c>
      <c r="N484" s="59">
        <v>0</v>
      </c>
      <c r="O484" s="59">
        <v>0</v>
      </c>
      <c r="P484" s="59">
        <v>0</v>
      </c>
      <c r="Q484" s="59">
        <v>0</v>
      </c>
      <c r="S484" s="51" t="b">
        <f t="shared" si="118"/>
        <v>1</v>
      </c>
      <c r="U484" s="60" t="e">
        <v>#N/A</v>
      </c>
      <c r="V484" s="51" t="str">
        <f t="shared" si="134"/>
        <v>Power County South Wind QF p575614</v>
      </c>
      <c r="W484" s="60"/>
      <c r="Y484" s="60"/>
      <c r="AA484" s="60"/>
      <c r="AC484" s="54"/>
      <c r="AG484" s="62"/>
    </row>
    <row r="485" spans="2:33">
      <c r="C485" s="58" t="s">
        <v>336</v>
      </c>
      <c r="E485" s="59">
        <f t="shared" si="132"/>
        <v>0</v>
      </c>
      <c r="F485" s="59">
        <v>0</v>
      </c>
      <c r="G485" s="59">
        <v>0</v>
      </c>
      <c r="H485" s="59">
        <v>0</v>
      </c>
      <c r="I485" s="59">
        <v>0</v>
      </c>
      <c r="J485" s="59">
        <v>0</v>
      </c>
      <c r="K485" s="59">
        <v>0</v>
      </c>
      <c r="L485" s="59">
        <v>0</v>
      </c>
      <c r="M485" s="59">
        <v>0</v>
      </c>
      <c r="N485" s="59">
        <v>0</v>
      </c>
      <c r="O485" s="59">
        <v>0</v>
      </c>
      <c r="P485" s="59">
        <v>0</v>
      </c>
      <c r="Q485" s="59">
        <v>0</v>
      </c>
      <c r="S485" s="51" t="b">
        <f t="shared" si="118"/>
        <v>1</v>
      </c>
      <c r="U485" s="60" t="e">
        <v>#N/A</v>
      </c>
      <c r="V485" s="51" t="str">
        <f t="shared" si="134"/>
        <v>Roseburg Dillard QF</v>
      </c>
      <c r="W485" s="60"/>
      <c r="Y485" s="60"/>
      <c r="AA485" s="60"/>
      <c r="AC485" s="54"/>
      <c r="AG485" s="62"/>
    </row>
    <row r="486" spans="2:33" hidden="1">
      <c r="C486" s="58" t="s">
        <v>337</v>
      </c>
      <c r="E486" s="59">
        <f t="shared" si="117"/>
        <v>0</v>
      </c>
      <c r="F486" s="59">
        <v>0</v>
      </c>
      <c r="G486" s="59">
        <v>0</v>
      </c>
      <c r="H486" s="59">
        <v>0</v>
      </c>
      <c r="I486" s="59">
        <v>0</v>
      </c>
      <c r="J486" s="59">
        <v>0</v>
      </c>
      <c r="K486" s="59">
        <v>0</v>
      </c>
      <c r="L486" s="59">
        <v>0</v>
      </c>
      <c r="M486" s="59">
        <v>0</v>
      </c>
      <c r="N486" s="59">
        <v>0</v>
      </c>
      <c r="O486" s="59">
        <v>0</v>
      </c>
      <c r="P486" s="59">
        <v>0</v>
      </c>
      <c r="Q486" s="59">
        <v>0</v>
      </c>
      <c r="S486" s="51" t="b">
        <f t="shared" si="118"/>
        <v>1</v>
      </c>
      <c r="U486" s="60" t="e">
        <v>#N/A</v>
      </c>
      <c r="V486" s="51" t="str">
        <f t="shared" si="134"/>
        <v>Simplot Phosphates</v>
      </c>
      <c r="W486" s="60"/>
      <c r="Y486" s="60"/>
      <c r="AA486" s="60"/>
      <c r="AC486" s="54"/>
      <c r="AG486" s="62" t="str">
        <f t="shared" si="124"/>
        <v>Hide Row</v>
      </c>
    </row>
    <row r="487" spans="2:33">
      <c r="C487" s="58" t="s">
        <v>339</v>
      </c>
      <c r="E487" s="59">
        <f t="shared" si="117"/>
        <v>0</v>
      </c>
      <c r="F487" s="59">
        <v>0</v>
      </c>
      <c r="G487" s="59">
        <v>0</v>
      </c>
      <c r="H487" s="59">
        <v>0</v>
      </c>
      <c r="I487" s="59">
        <v>0</v>
      </c>
      <c r="J487" s="59">
        <v>0</v>
      </c>
      <c r="K487" s="59">
        <v>0</v>
      </c>
      <c r="L487" s="59">
        <v>0</v>
      </c>
      <c r="M487" s="59">
        <v>0</v>
      </c>
      <c r="N487" s="59">
        <v>0</v>
      </c>
      <c r="O487" s="59">
        <v>0</v>
      </c>
      <c r="P487" s="59">
        <v>0</v>
      </c>
      <c r="Q487" s="59">
        <v>0</v>
      </c>
      <c r="S487" s="51" t="b">
        <f t="shared" si="118"/>
        <v>1</v>
      </c>
      <c r="U487" s="60" t="e">
        <v>#N/A</v>
      </c>
      <c r="V487" s="51" t="str">
        <f t="shared" si="134"/>
        <v>Spanish Fork Wind 2 QF</v>
      </c>
      <c r="W487" s="60"/>
      <c r="Y487" s="60"/>
      <c r="AA487" s="60"/>
      <c r="AC487" s="54"/>
      <c r="AG487" s="62" t="str">
        <f t="shared" si="124"/>
        <v>Hide Row</v>
      </c>
    </row>
    <row r="488" spans="2:33">
      <c r="C488" s="85" t="s">
        <v>341</v>
      </c>
      <c r="E488" s="59">
        <f t="shared" si="117"/>
        <v>0</v>
      </c>
      <c r="F488" s="59">
        <v>0</v>
      </c>
      <c r="G488" s="59">
        <v>0</v>
      </c>
      <c r="H488" s="59">
        <v>0</v>
      </c>
      <c r="I488" s="59">
        <v>0</v>
      </c>
      <c r="J488" s="59">
        <v>0</v>
      </c>
      <c r="K488" s="59">
        <v>0</v>
      </c>
      <c r="L488" s="59">
        <v>0</v>
      </c>
      <c r="M488" s="59">
        <v>0</v>
      </c>
      <c r="N488" s="59">
        <v>0</v>
      </c>
      <c r="O488" s="59">
        <v>0</v>
      </c>
      <c r="P488" s="59">
        <v>0</v>
      </c>
      <c r="Q488" s="59">
        <v>0</v>
      </c>
      <c r="S488" s="51" t="b">
        <f t="shared" si="118"/>
        <v>1</v>
      </c>
      <c r="U488" s="60" t="e">
        <v>#N/A</v>
      </c>
      <c r="V488" s="51" t="str">
        <f t="shared" si="134"/>
        <v>Sunnyside (QF) base</v>
      </c>
      <c r="W488" s="60" t="e">
        <v>#N/A</v>
      </c>
      <c r="X488" s="51" t="str">
        <f>X158</f>
        <v>Sunnyside (QF) additional</v>
      </c>
      <c r="Y488" s="60"/>
      <c r="AA488" s="60"/>
      <c r="AC488" s="54"/>
      <c r="AG488" s="62" t="str">
        <f t="shared" si="124"/>
        <v>Hide Row</v>
      </c>
    </row>
    <row r="489" spans="2:33" hidden="1">
      <c r="C489" s="85" t="s">
        <v>344</v>
      </c>
      <c r="E489" s="59">
        <f t="shared" si="117"/>
        <v>0</v>
      </c>
      <c r="F489" s="59">
        <v>0</v>
      </c>
      <c r="G489" s="59">
        <v>0</v>
      </c>
      <c r="H489" s="59">
        <v>0</v>
      </c>
      <c r="I489" s="59">
        <v>0</v>
      </c>
      <c r="J489" s="59">
        <v>0</v>
      </c>
      <c r="K489" s="59">
        <v>0</v>
      </c>
      <c r="L489" s="59">
        <v>0</v>
      </c>
      <c r="M489" s="59">
        <v>0</v>
      </c>
      <c r="N489" s="59">
        <v>0</v>
      </c>
      <c r="O489" s="59">
        <v>0</v>
      </c>
      <c r="P489" s="59">
        <v>0</v>
      </c>
      <c r="Q489" s="59">
        <v>0</v>
      </c>
      <c r="S489" s="51" t="b">
        <f t="shared" si="118"/>
        <v>1</v>
      </c>
      <c r="U489" s="60" t="e">
        <v>#N/A</v>
      </c>
      <c r="V489" s="51" t="str">
        <f t="shared" si="134"/>
        <v>Tesoro QF</v>
      </c>
      <c r="W489" s="60"/>
      <c r="Y489" s="60"/>
      <c r="AA489" s="60"/>
      <c r="AC489" s="54"/>
      <c r="AG489" s="62" t="str">
        <f t="shared" si="124"/>
        <v>Hide Row</v>
      </c>
    </row>
    <row r="490" spans="2:33">
      <c r="C490" s="85" t="s">
        <v>345</v>
      </c>
      <c r="E490" s="59">
        <f t="shared" ref="E490" si="135">SUM(F490:Q490)</f>
        <v>0</v>
      </c>
      <c r="F490" s="59">
        <v>0</v>
      </c>
      <c r="G490" s="59">
        <v>0</v>
      </c>
      <c r="H490" s="59">
        <v>0</v>
      </c>
      <c r="I490" s="59">
        <v>0</v>
      </c>
      <c r="J490" s="59">
        <v>0</v>
      </c>
      <c r="K490" s="59">
        <v>0</v>
      </c>
      <c r="L490" s="59">
        <v>0</v>
      </c>
      <c r="M490" s="59">
        <v>0</v>
      </c>
      <c r="N490" s="59">
        <v>0</v>
      </c>
      <c r="O490" s="59">
        <v>0</v>
      </c>
      <c r="P490" s="59">
        <v>0</v>
      </c>
      <c r="Q490" s="59">
        <v>0</v>
      </c>
      <c r="S490" s="51" t="b">
        <f t="shared" si="118"/>
        <v>1</v>
      </c>
      <c r="U490" s="60" t="e">
        <v>#N/A</v>
      </c>
      <c r="V490" s="51" t="str">
        <f t="shared" si="134"/>
        <v>Threemile Canyon Wind QF p500139</v>
      </c>
      <c r="W490" s="60"/>
      <c r="Y490" s="60"/>
      <c r="AA490" s="60"/>
      <c r="AC490" s="54"/>
      <c r="AG490" s="62"/>
    </row>
    <row r="491" spans="2:33" hidden="1">
      <c r="C491" s="85" t="s">
        <v>346</v>
      </c>
      <c r="E491" s="59">
        <f t="shared" si="117"/>
        <v>0</v>
      </c>
      <c r="F491" s="59">
        <v>0</v>
      </c>
      <c r="G491" s="59">
        <v>0</v>
      </c>
      <c r="H491" s="59">
        <v>0</v>
      </c>
      <c r="I491" s="59">
        <v>0</v>
      </c>
      <c r="J491" s="59">
        <v>0</v>
      </c>
      <c r="K491" s="59">
        <v>0</v>
      </c>
      <c r="L491" s="59">
        <v>0</v>
      </c>
      <c r="M491" s="59">
        <v>0</v>
      </c>
      <c r="N491" s="59">
        <v>0</v>
      </c>
      <c r="O491" s="59">
        <v>0</v>
      </c>
      <c r="P491" s="59">
        <v>0</v>
      </c>
      <c r="Q491" s="59">
        <v>0</v>
      </c>
      <c r="S491" s="51" t="b">
        <f t="shared" si="118"/>
        <v>1</v>
      </c>
      <c r="U491" s="60" t="e">
        <v>#N/A</v>
      </c>
      <c r="V491" s="51" t="str">
        <f t="shared" si="134"/>
        <v>US Magnesium QF</v>
      </c>
      <c r="W491" s="60"/>
      <c r="Y491" s="60"/>
      <c r="AA491" s="60"/>
      <c r="AC491" s="54"/>
      <c r="AG491" s="62" t="str">
        <f t="shared" si="124"/>
        <v>Hide Row</v>
      </c>
    </row>
    <row r="492" spans="2:33" ht="15" hidden="1">
      <c r="C492" s="58">
        <v>0</v>
      </c>
      <c r="E492" s="131">
        <f>SUM(F492:Q492)</f>
        <v>0</v>
      </c>
      <c r="F492" s="131">
        <v>0</v>
      </c>
      <c r="G492" s="131">
        <v>0</v>
      </c>
      <c r="H492" s="131">
        <v>0</v>
      </c>
      <c r="I492" s="131">
        <v>0</v>
      </c>
      <c r="J492" s="131">
        <v>0</v>
      </c>
      <c r="K492" s="131">
        <v>0</v>
      </c>
      <c r="L492" s="131">
        <v>0</v>
      </c>
      <c r="M492" s="131">
        <v>0</v>
      </c>
      <c r="N492" s="131">
        <v>0</v>
      </c>
      <c r="O492" s="131">
        <v>0</v>
      </c>
      <c r="P492" s="131">
        <v>0</v>
      </c>
      <c r="Q492" s="131">
        <v>0</v>
      </c>
      <c r="S492" s="51" t="b">
        <f t="shared" si="118"/>
        <v>1</v>
      </c>
      <c r="U492" s="60" t="e">
        <v>#N/A</v>
      </c>
      <c r="V492" s="86">
        <f t="shared" si="134"/>
        <v>0</v>
      </c>
      <c r="W492" s="61"/>
      <c r="Y492" s="61"/>
      <c r="AA492" s="61"/>
      <c r="AC492" s="61"/>
      <c r="AD492" s="86"/>
      <c r="AE492" s="86"/>
      <c r="AF492" s="86"/>
      <c r="AG492" s="62" t="str">
        <f t="shared" si="124"/>
        <v>Hide Row</v>
      </c>
    </row>
    <row r="493" spans="2:33">
      <c r="C493" s="58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U493" s="86"/>
    </row>
    <row r="494" spans="2:33">
      <c r="B494" s="51" t="str">
        <f>B164</f>
        <v>Qualifying Facilities Total</v>
      </c>
      <c r="C494" s="85"/>
      <c r="D494" s="84"/>
      <c r="E494" s="59">
        <f>SUM(F494:Q494)</f>
        <v>15888.179227199998</v>
      </c>
      <c r="F494" s="59">
        <f t="shared" ref="F494:Q494" si="136">SUM(F455:F492)</f>
        <v>880.56</v>
      </c>
      <c r="G494" s="59">
        <f t="shared" si="136"/>
        <v>1301.2560000000001</v>
      </c>
      <c r="H494" s="59">
        <f t="shared" si="136"/>
        <v>1868.4</v>
      </c>
      <c r="I494" s="59">
        <f t="shared" si="136"/>
        <v>2303.4241487999998</v>
      </c>
      <c r="J494" s="59">
        <f t="shared" si="136"/>
        <v>2423.9520000000002</v>
      </c>
      <c r="K494" s="59">
        <f t="shared" si="136"/>
        <v>2084.4</v>
      </c>
      <c r="L494" s="59">
        <f t="shared" si="136"/>
        <v>1201.5600744000001</v>
      </c>
      <c r="M494" s="59">
        <f t="shared" si="136"/>
        <v>766.42300799999998</v>
      </c>
      <c r="N494" s="59">
        <f t="shared" si="136"/>
        <v>764.83199999999999</v>
      </c>
      <c r="O494" s="59">
        <f t="shared" si="136"/>
        <v>764.83199999999999</v>
      </c>
      <c r="P494" s="59">
        <f t="shared" si="136"/>
        <v>764.73605520000001</v>
      </c>
      <c r="Q494" s="59">
        <f t="shared" si="136"/>
        <v>763.80394079999996</v>
      </c>
    </row>
    <row r="495" spans="2:33">
      <c r="C495" s="58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</row>
    <row r="496" spans="2:33">
      <c r="B496" s="51" t="str">
        <f>B166</f>
        <v>Mid-Columbia Contracts</v>
      </c>
      <c r="C496" s="58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</row>
    <row r="497" spans="2:33" hidden="1">
      <c r="C497" s="58" t="s">
        <v>348</v>
      </c>
      <c r="E497" s="59">
        <f t="shared" ref="E497:E503" si="137">SUM(F497:Q497)</f>
        <v>0</v>
      </c>
      <c r="F497" s="59">
        <v>0</v>
      </c>
      <c r="G497" s="59">
        <v>0</v>
      </c>
      <c r="H497" s="59">
        <v>0</v>
      </c>
      <c r="I497" s="59">
        <v>0</v>
      </c>
      <c r="J497" s="59">
        <v>0</v>
      </c>
      <c r="K497" s="59">
        <v>0</v>
      </c>
      <c r="L497" s="59">
        <v>0</v>
      </c>
      <c r="M497" s="59">
        <v>0</v>
      </c>
      <c r="N497" s="59">
        <v>0</v>
      </c>
      <c r="O497" s="59">
        <v>0</v>
      </c>
      <c r="P497" s="59">
        <v>0</v>
      </c>
      <c r="Q497" s="59">
        <v>0</v>
      </c>
      <c r="S497" s="51" t="b">
        <f t="shared" ref="S497:S506" si="138">C167=C497</f>
        <v>1</v>
      </c>
      <c r="U497" s="60" t="e">
        <v>#N/A</v>
      </c>
      <c r="V497" s="51" t="str">
        <f t="shared" ref="V497:V502" si="139">V167</f>
        <v>Canadian Entitlement CEAEA</v>
      </c>
      <c r="W497" s="60"/>
      <c r="Y497" s="60"/>
      <c r="AA497" s="60"/>
      <c r="AC497" s="54"/>
      <c r="AG497" s="62" t="str">
        <f t="shared" ref="AG497:AG506" si="140">IF(OR(ISNUMBER(U497),ISNUMBER(W497),ISNUMBER(Y497),ISNUMBER(AA497),ISNUMBER(AC497)),"","Hide Row")</f>
        <v>Hide Row</v>
      </c>
    </row>
    <row r="498" spans="2:33" hidden="1">
      <c r="C498" s="58" t="s">
        <v>350</v>
      </c>
      <c r="E498" s="59">
        <f t="shared" si="137"/>
        <v>0</v>
      </c>
      <c r="F498" s="59">
        <v>0</v>
      </c>
      <c r="G498" s="59">
        <v>0</v>
      </c>
      <c r="H498" s="59">
        <v>0</v>
      </c>
      <c r="I498" s="59">
        <v>0</v>
      </c>
      <c r="J498" s="59">
        <v>0</v>
      </c>
      <c r="K498" s="59">
        <v>0</v>
      </c>
      <c r="L498" s="59">
        <v>0</v>
      </c>
      <c r="M498" s="59">
        <v>0</v>
      </c>
      <c r="N498" s="59">
        <v>0</v>
      </c>
      <c r="O498" s="59">
        <v>0</v>
      </c>
      <c r="P498" s="59">
        <v>0</v>
      </c>
      <c r="Q498" s="59">
        <v>0</v>
      </c>
      <c r="S498" s="51" t="b">
        <f t="shared" si="138"/>
        <v>1</v>
      </c>
      <c r="U498" s="60" t="e">
        <v>#N/A</v>
      </c>
      <c r="V498" s="51" t="str">
        <f t="shared" si="139"/>
        <v>Chelan - Rocky Reach</v>
      </c>
      <c r="W498" s="60"/>
      <c r="Y498" s="60"/>
      <c r="AA498" s="60"/>
      <c r="AC498" s="61" t="e">
        <v>#N/A</v>
      </c>
      <c r="AD498" s="51" t="str">
        <f>V498</f>
        <v>Chelan - Rocky Reach</v>
      </c>
      <c r="AG498" s="62" t="str">
        <f t="shared" si="140"/>
        <v>Hide Row</v>
      </c>
    </row>
    <row r="499" spans="2:33">
      <c r="C499" s="58" t="s">
        <v>352</v>
      </c>
      <c r="E499" s="59">
        <f t="shared" si="137"/>
        <v>253552.72874299999</v>
      </c>
      <c r="F499" s="59">
        <v>23533.134072000001</v>
      </c>
      <c r="G499" s="59">
        <v>28054.201008</v>
      </c>
      <c r="H499" s="59">
        <v>26789.066591999999</v>
      </c>
      <c r="I499" s="59">
        <v>26166.847236000001</v>
      </c>
      <c r="J499" s="59">
        <v>19325.546375999998</v>
      </c>
      <c r="K499" s="59">
        <v>13443.765358000001</v>
      </c>
      <c r="L499" s="59">
        <v>15462.633769</v>
      </c>
      <c r="M499" s="59">
        <v>17348.748611999999</v>
      </c>
      <c r="N499" s="59">
        <v>19959.585935999999</v>
      </c>
      <c r="O499" s="59">
        <v>25726.286520000001</v>
      </c>
      <c r="P499" s="59">
        <v>19281.118272</v>
      </c>
      <c r="Q499" s="59">
        <v>18461.794991999999</v>
      </c>
      <c r="S499" s="51" t="b">
        <f t="shared" si="138"/>
        <v>1</v>
      </c>
      <c r="U499" s="60" t="e">
        <v>#N/A</v>
      </c>
      <c r="V499" s="51" t="str">
        <f t="shared" si="139"/>
        <v>Douglas - Wells</v>
      </c>
      <c r="W499" s="60"/>
      <c r="Y499" s="60"/>
      <c r="AA499" s="60"/>
      <c r="AC499" s="61">
        <v>6</v>
      </c>
      <c r="AD499" s="51" t="str">
        <f>V499</f>
        <v>Douglas - Wells</v>
      </c>
      <c r="AG499" s="62" t="str">
        <f t="shared" si="140"/>
        <v/>
      </c>
    </row>
    <row r="500" spans="2:33" hidden="1">
      <c r="C500" s="58" t="s">
        <v>355</v>
      </c>
      <c r="E500" s="59">
        <f t="shared" si="137"/>
        <v>0</v>
      </c>
      <c r="F500" s="59">
        <v>0</v>
      </c>
      <c r="G500" s="59">
        <v>0</v>
      </c>
      <c r="H500" s="59">
        <v>0</v>
      </c>
      <c r="I500" s="59">
        <v>0</v>
      </c>
      <c r="J500" s="59">
        <v>0</v>
      </c>
      <c r="K500" s="59">
        <v>0</v>
      </c>
      <c r="L500" s="59">
        <v>0</v>
      </c>
      <c r="M500" s="59">
        <v>0</v>
      </c>
      <c r="N500" s="59">
        <v>0</v>
      </c>
      <c r="O500" s="59">
        <v>0</v>
      </c>
      <c r="P500" s="59">
        <v>0</v>
      </c>
      <c r="Q500" s="59">
        <v>0</v>
      </c>
      <c r="S500" s="51" t="b">
        <f t="shared" si="138"/>
        <v>1</v>
      </c>
      <c r="U500" s="60" t="e">
        <v>#N/A</v>
      </c>
      <c r="V500" s="51" t="str">
        <f t="shared" si="139"/>
        <v>Grant Displacement</v>
      </c>
      <c r="W500" s="60"/>
      <c r="Y500" s="60"/>
      <c r="AA500" s="60"/>
      <c r="AC500" s="54"/>
      <c r="AG500" s="62" t="str">
        <f t="shared" si="140"/>
        <v>Hide Row</v>
      </c>
    </row>
    <row r="501" spans="2:33" hidden="1">
      <c r="C501" s="58" t="s">
        <v>357</v>
      </c>
      <c r="E501" s="59">
        <f t="shared" si="137"/>
        <v>0</v>
      </c>
      <c r="F501" s="59">
        <v>0</v>
      </c>
      <c r="G501" s="59">
        <v>0</v>
      </c>
      <c r="H501" s="59">
        <v>0</v>
      </c>
      <c r="I501" s="59">
        <v>0</v>
      </c>
      <c r="J501" s="59">
        <v>0</v>
      </c>
      <c r="K501" s="59">
        <v>0</v>
      </c>
      <c r="L501" s="59">
        <v>0</v>
      </c>
      <c r="M501" s="59">
        <v>0</v>
      </c>
      <c r="N501" s="59">
        <v>0</v>
      </c>
      <c r="O501" s="59">
        <v>0</v>
      </c>
      <c r="P501" s="59">
        <v>0</v>
      </c>
      <c r="Q501" s="59">
        <v>0</v>
      </c>
      <c r="S501" s="51" t="b">
        <f t="shared" si="138"/>
        <v>1</v>
      </c>
      <c r="U501" s="60" t="e">
        <v>#N/A</v>
      </c>
      <c r="V501" s="51" t="str">
        <f t="shared" si="139"/>
        <v>Grant Reasonable</v>
      </c>
      <c r="W501" s="60"/>
      <c r="Y501" s="60"/>
      <c r="AA501" s="60"/>
      <c r="AC501" s="54"/>
      <c r="AG501" s="62" t="str">
        <f t="shared" si="140"/>
        <v>Hide Row</v>
      </c>
    </row>
    <row r="502" spans="2:33" hidden="1">
      <c r="C502" s="58" t="s">
        <v>358</v>
      </c>
      <c r="E502" s="59">
        <f t="shared" si="137"/>
        <v>0</v>
      </c>
      <c r="F502" s="59">
        <v>0</v>
      </c>
      <c r="G502" s="59">
        <v>0</v>
      </c>
      <c r="H502" s="59">
        <v>0</v>
      </c>
      <c r="I502" s="59">
        <v>0</v>
      </c>
      <c r="J502" s="59">
        <v>0</v>
      </c>
      <c r="K502" s="59">
        <v>0</v>
      </c>
      <c r="L502" s="59">
        <v>0</v>
      </c>
      <c r="M502" s="59">
        <v>0</v>
      </c>
      <c r="N502" s="59">
        <v>0</v>
      </c>
      <c r="O502" s="59">
        <v>0</v>
      </c>
      <c r="P502" s="59">
        <v>0</v>
      </c>
      <c r="Q502" s="59">
        <v>0</v>
      </c>
      <c r="S502" s="51" t="b">
        <f t="shared" si="138"/>
        <v>1</v>
      </c>
      <c r="U502" s="60" t="e">
        <v>#N/A</v>
      </c>
      <c r="V502" s="51" t="str">
        <f t="shared" si="139"/>
        <v>Grant Meaningful Priority</v>
      </c>
      <c r="W502" s="60"/>
      <c r="X502" s="86"/>
      <c r="Y502" s="61"/>
      <c r="AA502" s="61" t="e">
        <v>#N/A</v>
      </c>
      <c r="AB502" s="86" t="s">
        <v>539</v>
      </c>
      <c r="AC502" s="61" t="e">
        <v>#N/A</v>
      </c>
      <c r="AD502" s="86" t="s">
        <v>540</v>
      </c>
      <c r="AE502" s="86"/>
      <c r="AF502" s="86"/>
      <c r="AG502" s="62" t="str">
        <f t="shared" si="140"/>
        <v>Hide Row</v>
      </c>
    </row>
    <row r="503" spans="2:33">
      <c r="C503" s="58" t="s">
        <v>360</v>
      </c>
      <c r="E503" s="59">
        <f t="shared" si="137"/>
        <v>88206.351709399984</v>
      </c>
      <c r="F503" s="59">
        <v>7862.6647673999996</v>
      </c>
      <c r="G503" s="59">
        <v>7655.2290223999998</v>
      </c>
      <c r="H503" s="59">
        <v>8071.5973331999994</v>
      </c>
      <c r="I503" s="59">
        <v>8146.2772748000007</v>
      </c>
      <c r="J503" s="59">
        <v>6644.8271892000002</v>
      </c>
      <c r="K503" s="59">
        <v>5257.0676189999995</v>
      </c>
      <c r="L503" s="59">
        <v>6142.0097657000006</v>
      </c>
      <c r="M503" s="59">
        <v>6708.6924485999998</v>
      </c>
      <c r="N503" s="59">
        <v>7786.0414731000001</v>
      </c>
      <c r="O503" s="59">
        <v>9919.051556800001</v>
      </c>
      <c r="P503" s="59">
        <v>6768.4384816000002</v>
      </c>
      <c r="Q503" s="59">
        <v>7244.4547775999999</v>
      </c>
      <c r="S503" s="51" t="b">
        <f t="shared" si="138"/>
        <v>1</v>
      </c>
      <c r="U503" s="60"/>
      <c r="W503" s="60"/>
      <c r="Y503" s="61"/>
      <c r="AA503" s="61">
        <v>10</v>
      </c>
      <c r="AB503" s="86" t="s">
        <v>541</v>
      </c>
      <c r="AC503" s="61">
        <v>11</v>
      </c>
      <c r="AD503" s="86" t="s">
        <v>542</v>
      </c>
      <c r="AE503" s="86"/>
      <c r="AF503" s="86"/>
      <c r="AG503" s="62" t="str">
        <f t="shared" si="140"/>
        <v/>
      </c>
    </row>
    <row r="504" spans="2:33" hidden="1">
      <c r="C504" s="58" t="s">
        <v>363</v>
      </c>
      <c r="E504" s="59">
        <f>SUM(F504:Q504)</f>
        <v>0</v>
      </c>
      <c r="F504" s="59">
        <v>0</v>
      </c>
      <c r="G504" s="59">
        <v>0</v>
      </c>
      <c r="H504" s="59">
        <v>0</v>
      </c>
      <c r="I504" s="59">
        <v>0</v>
      </c>
      <c r="J504" s="59">
        <v>0</v>
      </c>
      <c r="K504" s="59">
        <v>0</v>
      </c>
      <c r="L504" s="59">
        <v>0</v>
      </c>
      <c r="M504" s="59">
        <v>0</v>
      </c>
      <c r="N504" s="59">
        <v>0</v>
      </c>
      <c r="O504" s="59">
        <v>0</v>
      </c>
      <c r="P504" s="59">
        <v>0</v>
      </c>
      <c r="Q504" s="59">
        <v>0</v>
      </c>
      <c r="S504" s="51" t="b">
        <f t="shared" si="138"/>
        <v>1</v>
      </c>
      <c r="U504" s="60"/>
      <c r="W504" s="60"/>
      <c r="Y504" s="61"/>
      <c r="AA504" s="61" t="e">
        <v>#N/A</v>
      </c>
      <c r="AB504" s="86" t="s">
        <v>363</v>
      </c>
      <c r="AC504" s="61"/>
      <c r="AD504" s="86"/>
      <c r="AE504" s="86"/>
      <c r="AF504" s="86"/>
      <c r="AG504" s="62" t="str">
        <f t="shared" si="140"/>
        <v>Hide Row</v>
      </c>
    </row>
    <row r="505" spans="2:33" hidden="1">
      <c r="C505" s="58" t="s">
        <v>361</v>
      </c>
      <c r="E505" s="59">
        <f>SUM(F505:Q505)</f>
        <v>0</v>
      </c>
      <c r="F505" s="59">
        <v>0</v>
      </c>
      <c r="G505" s="59">
        <v>0</v>
      </c>
      <c r="H505" s="59">
        <v>0</v>
      </c>
      <c r="I505" s="59">
        <v>0</v>
      </c>
      <c r="J505" s="59">
        <v>0</v>
      </c>
      <c r="K505" s="59">
        <v>0</v>
      </c>
      <c r="L505" s="59">
        <v>0</v>
      </c>
      <c r="M505" s="59">
        <v>0</v>
      </c>
      <c r="N505" s="59">
        <v>0</v>
      </c>
      <c r="O505" s="59">
        <v>0</v>
      </c>
      <c r="P505" s="59">
        <v>0</v>
      </c>
      <c r="Q505" s="59">
        <v>0</v>
      </c>
      <c r="S505" s="51" t="b">
        <f t="shared" si="138"/>
        <v>1</v>
      </c>
      <c r="U505" s="60"/>
      <c r="W505" s="60"/>
      <c r="Y505" s="60"/>
      <c r="AA505" s="61" t="e">
        <v>#N/A</v>
      </c>
      <c r="AB505" s="86" t="s">
        <v>361</v>
      </c>
      <c r="AC505" s="61"/>
      <c r="AD505" s="86"/>
      <c r="AE505" s="86"/>
      <c r="AF505" s="86"/>
      <c r="AG505" s="62" t="str">
        <f t="shared" si="140"/>
        <v>Hide Row</v>
      </c>
    </row>
    <row r="506" spans="2:33" ht="15" hidden="1">
      <c r="C506" s="58">
        <v>0</v>
      </c>
      <c r="E506" s="131">
        <f>SUM(F506:Q506)</f>
        <v>0</v>
      </c>
      <c r="F506" s="131">
        <v>0</v>
      </c>
      <c r="G506" s="131">
        <v>0</v>
      </c>
      <c r="H506" s="131">
        <v>0</v>
      </c>
      <c r="I506" s="131">
        <v>0</v>
      </c>
      <c r="J506" s="131">
        <v>0</v>
      </c>
      <c r="K506" s="131">
        <v>0</v>
      </c>
      <c r="L506" s="131">
        <v>0</v>
      </c>
      <c r="M506" s="131">
        <v>0</v>
      </c>
      <c r="N506" s="131">
        <v>0</v>
      </c>
      <c r="O506" s="131">
        <v>0</v>
      </c>
      <c r="P506" s="131">
        <v>0</v>
      </c>
      <c r="Q506" s="131">
        <v>0</v>
      </c>
      <c r="S506" s="51" t="b">
        <f t="shared" si="138"/>
        <v>1</v>
      </c>
      <c r="U506" s="60"/>
      <c r="V506" s="86"/>
      <c r="W506" s="61"/>
      <c r="Y506" s="61"/>
      <c r="AA506" s="61" t="e">
        <v>#N/A</v>
      </c>
      <c r="AC506" s="61"/>
      <c r="AD506" s="86"/>
      <c r="AE506" s="86"/>
      <c r="AF506" s="86"/>
      <c r="AG506" s="62" t="str">
        <f t="shared" si="140"/>
        <v>Hide Row</v>
      </c>
    </row>
    <row r="507" spans="2:33">
      <c r="C507" s="58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U507" s="86"/>
    </row>
    <row r="508" spans="2:33">
      <c r="B508" s="51" t="str">
        <f>B178</f>
        <v>Mid-Columbia Contracts Total</v>
      </c>
      <c r="C508" s="58"/>
      <c r="E508" s="59">
        <f>SUM(F508:Q508)</f>
        <v>341759.08045240003</v>
      </c>
      <c r="F508" s="59">
        <f t="shared" ref="F508:Q508" si="141">SUM(F497:F506)</f>
        <v>31395.798839399999</v>
      </c>
      <c r="G508" s="59">
        <f t="shared" si="141"/>
        <v>35709.430030399999</v>
      </c>
      <c r="H508" s="59">
        <f t="shared" si="141"/>
        <v>34860.663925200002</v>
      </c>
      <c r="I508" s="59">
        <f t="shared" si="141"/>
        <v>34313.1245108</v>
      </c>
      <c r="J508" s="59">
        <f t="shared" si="141"/>
        <v>25970.3735652</v>
      </c>
      <c r="K508" s="59">
        <f t="shared" si="141"/>
        <v>18700.832976999998</v>
      </c>
      <c r="L508" s="59">
        <f t="shared" si="141"/>
        <v>21604.643534700001</v>
      </c>
      <c r="M508" s="59">
        <f t="shared" si="141"/>
        <v>24057.441060599998</v>
      </c>
      <c r="N508" s="59">
        <f t="shared" si="141"/>
        <v>27745.627409100001</v>
      </c>
      <c r="O508" s="59">
        <f t="shared" si="141"/>
        <v>35645.338076800006</v>
      </c>
      <c r="P508" s="59">
        <f t="shared" si="141"/>
        <v>26049.556753600002</v>
      </c>
      <c r="Q508" s="59">
        <f t="shared" si="141"/>
        <v>25706.249769599999</v>
      </c>
      <c r="U508" s="86"/>
    </row>
    <row r="509" spans="2:33">
      <c r="C509" s="58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U509" s="86"/>
    </row>
    <row r="510" spans="2:33">
      <c r="B510" s="51" t="str">
        <f>B180</f>
        <v>Total Long Term Firm Purchases</v>
      </c>
      <c r="E510" s="59">
        <f>SUM(F510:Q510)</f>
        <v>1819991.3567200811</v>
      </c>
      <c r="F510" s="59">
        <f t="shared" ref="F510:Q510" si="142">F441+F452+F494+F508</f>
        <v>145274.69167009997</v>
      </c>
      <c r="G510" s="59">
        <f t="shared" si="142"/>
        <v>87650.772668031001</v>
      </c>
      <c r="H510" s="59">
        <f t="shared" si="142"/>
        <v>65785.379159069998</v>
      </c>
      <c r="I510" s="59">
        <f t="shared" si="142"/>
        <v>187848.51867296</v>
      </c>
      <c r="J510" s="59">
        <f t="shared" si="142"/>
        <v>188702.35002879999</v>
      </c>
      <c r="K510" s="59">
        <f t="shared" si="142"/>
        <v>151360.85536819999</v>
      </c>
      <c r="L510" s="59">
        <f t="shared" si="142"/>
        <v>183907.23520554003</v>
      </c>
      <c r="M510" s="59">
        <f t="shared" si="142"/>
        <v>167864.4695529</v>
      </c>
      <c r="N510" s="59">
        <f t="shared" si="142"/>
        <v>172607.96684229001</v>
      </c>
      <c r="O510" s="59">
        <f t="shared" si="142"/>
        <v>174420.00091412</v>
      </c>
      <c r="P510" s="59">
        <f t="shared" si="142"/>
        <v>145505.01836712001</v>
      </c>
      <c r="Q510" s="59">
        <f t="shared" si="142"/>
        <v>149064.09827094999</v>
      </c>
      <c r="U510" s="86"/>
      <c r="AC510" s="54"/>
    </row>
    <row r="511" spans="2:33"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U511" s="86"/>
      <c r="AC511" s="54"/>
    </row>
    <row r="512" spans="2:33">
      <c r="B512" s="51" t="str">
        <f>B182</f>
        <v>Storage &amp; Exchange</v>
      </c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U512" s="86"/>
      <c r="AC512" s="54"/>
    </row>
    <row r="513" spans="1:33" hidden="1">
      <c r="C513" s="58" t="s">
        <v>366</v>
      </c>
      <c r="E513" s="59">
        <f t="shared" ref="E513:E529" si="143">SUM(F513:Q513)</f>
        <v>0</v>
      </c>
      <c r="F513" s="59">
        <v>0</v>
      </c>
      <c r="G513" s="59">
        <v>0</v>
      </c>
      <c r="H513" s="59">
        <v>0</v>
      </c>
      <c r="I513" s="59">
        <v>0</v>
      </c>
      <c r="J513" s="59">
        <v>0</v>
      </c>
      <c r="K513" s="59">
        <v>0</v>
      </c>
      <c r="L513" s="59">
        <v>0</v>
      </c>
      <c r="M513" s="59">
        <v>0</v>
      </c>
      <c r="N513" s="59">
        <v>0</v>
      </c>
      <c r="O513" s="59">
        <v>0</v>
      </c>
      <c r="P513" s="59">
        <v>0</v>
      </c>
      <c r="Q513" s="59">
        <v>0</v>
      </c>
      <c r="S513" s="51" t="b">
        <f t="shared" ref="S513:S529" si="144">C183=C513</f>
        <v>1</v>
      </c>
      <c r="U513" s="60" t="e">
        <v>#N/A</v>
      </c>
      <c r="V513" s="51" t="str">
        <f t="shared" ref="V513:V529" si="145">V183</f>
        <v>APGI 7X24 return</v>
      </c>
      <c r="W513" s="60" t="e">
        <v>#N/A</v>
      </c>
      <c r="X513" s="51" t="str">
        <f t="shared" ref="X513:AB521" si="146">X183</f>
        <v>APGI LLH return</v>
      </c>
      <c r="Y513" s="60"/>
      <c r="AA513" s="60"/>
      <c r="AC513" s="54"/>
      <c r="AG513" s="62" t="str">
        <f t="shared" ref="AG513:AG531" si="147">IF(OR(ISNUMBER(U513),ISNUMBER(W513),ISNUMBER(Y513),ISNUMBER(AA513),ISNUMBER(AC513)),"","Hide Row")</f>
        <v>Hide Row</v>
      </c>
    </row>
    <row r="514" spans="1:33">
      <c r="C514" s="58" t="s">
        <v>369</v>
      </c>
      <c r="E514" s="59">
        <f t="shared" si="143"/>
        <v>0</v>
      </c>
      <c r="F514" s="59">
        <v>0</v>
      </c>
      <c r="G514" s="59">
        <v>0</v>
      </c>
      <c r="H514" s="59">
        <v>0</v>
      </c>
      <c r="I514" s="59">
        <v>0</v>
      </c>
      <c r="J514" s="59">
        <v>0</v>
      </c>
      <c r="K514" s="59">
        <v>0</v>
      </c>
      <c r="L514" s="59">
        <v>0</v>
      </c>
      <c r="M514" s="59">
        <v>0</v>
      </c>
      <c r="N514" s="59">
        <v>0</v>
      </c>
      <c r="O514" s="59">
        <v>0</v>
      </c>
      <c r="P514" s="59">
        <v>0</v>
      </c>
      <c r="Q514" s="59">
        <v>0</v>
      </c>
      <c r="S514" s="51" t="b">
        <f t="shared" si="144"/>
        <v>1</v>
      </c>
      <c r="U514" s="60" t="e">
        <v>#N/A</v>
      </c>
      <c r="V514" s="51" t="str">
        <f t="shared" si="145"/>
        <v>APS Exchange</v>
      </c>
      <c r="W514" s="60" t="e">
        <v>#N/A</v>
      </c>
      <c r="X514" s="51" t="str">
        <f t="shared" si="146"/>
        <v>APS Exchange deliver</v>
      </c>
      <c r="Y514" s="60"/>
      <c r="AA514" s="60"/>
      <c r="AC514" s="54"/>
      <c r="AG514" s="62" t="str">
        <f t="shared" si="147"/>
        <v>Hide Row</v>
      </c>
    </row>
    <row r="515" spans="1:33" hidden="1">
      <c r="C515" s="58" t="s">
        <v>372</v>
      </c>
      <c r="E515" s="59">
        <f t="shared" si="143"/>
        <v>0</v>
      </c>
      <c r="F515" s="59">
        <v>0</v>
      </c>
      <c r="G515" s="59">
        <v>0</v>
      </c>
      <c r="H515" s="59">
        <v>0</v>
      </c>
      <c r="I515" s="59">
        <v>0</v>
      </c>
      <c r="J515" s="59">
        <v>0</v>
      </c>
      <c r="K515" s="59">
        <v>0</v>
      </c>
      <c r="L515" s="59">
        <v>0</v>
      </c>
      <c r="M515" s="59">
        <v>0</v>
      </c>
      <c r="N515" s="59">
        <v>0</v>
      </c>
      <c r="O515" s="59">
        <v>0</v>
      </c>
      <c r="P515" s="59">
        <v>0</v>
      </c>
      <c r="Q515" s="59">
        <v>0</v>
      </c>
      <c r="S515" s="51" t="b">
        <f t="shared" si="144"/>
        <v>1</v>
      </c>
      <c r="U515" s="60" t="e">
        <v>#N/A</v>
      </c>
      <c r="V515" s="51" t="str">
        <f t="shared" si="145"/>
        <v>Black Hills Reserve (CTs)</v>
      </c>
      <c r="W515" s="60" t="e">
        <v>#N/A</v>
      </c>
      <c r="X515" s="51" t="str">
        <f t="shared" si="146"/>
        <v>Black Hills Reserve</v>
      </c>
      <c r="Y515" s="60"/>
      <c r="AA515" s="60"/>
      <c r="AC515" s="54"/>
      <c r="AG515" s="62" t="str">
        <f t="shared" si="147"/>
        <v>Hide Row</v>
      </c>
    </row>
    <row r="516" spans="1:33" hidden="1">
      <c r="C516" s="58" t="s">
        <v>375</v>
      </c>
      <c r="E516" s="59">
        <f t="shared" si="143"/>
        <v>0</v>
      </c>
      <c r="F516" s="59">
        <v>0</v>
      </c>
      <c r="G516" s="59">
        <v>0</v>
      </c>
      <c r="H516" s="59">
        <v>0</v>
      </c>
      <c r="I516" s="59">
        <v>0</v>
      </c>
      <c r="J516" s="59">
        <v>0</v>
      </c>
      <c r="K516" s="59">
        <v>0</v>
      </c>
      <c r="L516" s="59">
        <v>0</v>
      </c>
      <c r="M516" s="59">
        <v>0</v>
      </c>
      <c r="N516" s="59">
        <v>0</v>
      </c>
      <c r="O516" s="59">
        <v>0</v>
      </c>
      <c r="P516" s="59">
        <v>0</v>
      </c>
      <c r="Q516" s="59">
        <v>0</v>
      </c>
      <c r="S516" s="51" t="b">
        <f t="shared" si="144"/>
        <v>1</v>
      </c>
      <c r="U516" s="60" t="e">
        <v>#N/A</v>
      </c>
      <c r="V516" s="51" t="str">
        <f t="shared" si="145"/>
        <v>BPA Spring Energy</v>
      </c>
      <c r="W516" s="60" t="e">
        <v>#N/A</v>
      </c>
      <c r="X516" s="51" t="str">
        <f t="shared" si="146"/>
        <v>BPA Spring Energy deliver</v>
      </c>
      <c r="Y516" s="60" t="e">
        <v>#N/A</v>
      </c>
      <c r="Z516" s="51" t="str">
        <f>Z186</f>
        <v>BPA Summer Storage</v>
      </c>
      <c r="AA516" s="60" t="e">
        <v>#N/A</v>
      </c>
      <c r="AB516" s="51" t="str">
        <f>AB186</f>
        <v>BPA Summer Storage return</v>
      </c>
      <c r="AC516" s="54"/>
      <c r="AG516" s="62" t="str">
        <f t="shared" si="147"/>
        <v>Hide Row</v>
      </c>
    </row>
    <row r="517" spans="1:33">
      <c r="C517" s="58" t="s">
        <v>380</v>
      </c>
      <c r="E517" s="59">
        <f t="shared" si="143"/>
        <v>0</v>
      </c>
      <c r="F517" s="59">
        <v>0</v>
      </c>
      <c r="G517" s="59">
        <v>0</v>
      </c>
      <c r="H517" s="59">
        <v>0</v>
      </c>
      <c r="I517" s="59">
        <v>0</v>
      </c>
      <c r="J517" s="59">
        <v>0</v>
      </c>
      <c r="K517" s="59">
        <v>0</v>
      </c>
      <c r="L517" s="59">
        <v>0</v>
      </c>
      <c r="M517" s="59">
        <v>0</v>
      </c>
      <c r="N517" s="59">
        <v>0</v>
      </c>
      <c r="O517" s="59">
        <v>0</v>
      </c>
      <c r="P517" s="59">
        <v>0</v>
      </c>
      <c r="Q517" s="59">
        <v>0</v>
      </c>
      <c r="S517" s="51" t="b">
        <f t="shared" si="144"/>
        <v>1</v>
      </c>
      <c r="U517" s="60" t="e">
        <v>#N/A</v>
      </c>
      <c r="V517" s="51" t="str">
        <f t="shared" si="145"/>
        <v>BPA FC II Generation</v>
      </c>
      <c r="W517" s="60" t="e">
        <v>#N/A</v>
      </c>
      <c r="X517" s="51" t="str">
        <f t="shared" si="146"/>
        <v>BPA FC II delivery</v>
      </c>
      <c r="Y517" s="60"/>
      <c r="AA517" s="60"/>
      <c r="AC517" s="54"/>
      <c r="AG517" s="62" t="str">
        <f t="shared" si="147"/>
        <v>Hide Row</v>
      </c>
    </row>
    <row r="518" spans="1:33">
      <c r="C518" s="58" t="s">
        <v>383</v>
      </c>
      <c r="E518" s="59">
        <f t="shared" si="143"/>
        <v>0</v>
      </c>
      <c r="F518" s="59">
        <v>0</v>
      </c>
      <c r="G518" s="59">
        <v>0</v>
      </c>
      <c r="H518" s="59">
        <v>0</v>
      </c>
      <c r="I518" s="59">
        <v>0</v>
      </c>
      <c r="J518" s="59">
        <v>0</v>
      </c>
      <c r="K518" s="59">
        <v>0</v>
      </c>
      <c r="L518" s="59">
        <v>0</v>
      </c>
      <c r="M518" s="59">
        <v>0</v>
      </c>
      <c r="N518" s="59">
        <v>0</v>
      </c>
      <c r="O518" s="59">
        <v>0</v>
      </c>
      <c r="P518" s="59">
        <v>0</v>
      </c>
      <c r="Q518" s="59">
        <v>0</v>
      </c>
      <c r="S518" s="51" t="b">
        <f t="shared" si="144"/>
        <v>1</v>
      </c>
      <c r="U518" s="60" t="e">
        <v>#N/A</v>
      </c>
      <c r="V518" s="51" t="str">
        <f t="shared" si="145"/>
        <v>BPA FC IV Generation</v>
      </c>
      <c r="W518" s="60" t="e">
        <v>#N/A</v>
      </c>
      <c r="X518" s="51" t="str">
        <f t="shared" si="146"/>
        <v>BPA FC IV delivery</v>
      </c>
      <c r="Y518" s="60" t="e">
        <v>#N/A</v>
      </c>
      <c r="Z518" s="51" t="str">
        <f t="shared" si="146"/>
        <v>BPA FC IV delivery On</v>
      </c>
      <c r="AA518" s="60" t="e">
        <v>#N/A</v>
      </c>
      <c r="AB518" s="51" t="str">
        <f t="shared" si="146"/>
        <v>BPA FC IV delivery Off</v>
      </c>
      <c r="AC518" s="54"/>
      <c r="AG518" s="62" t="str">
        <f t="shared" si="147"/>
        <v>Hide Row</v>
      </c>
    </row>
    <row r="519" spans="1:33">
      <c r="C519" s="58" t="s">
        <v>388</v>
      </c>
      <c r="E519" s="59">
        <f t="shared" si="143"/>
        <v>0</v>
      </c>
      <c r="F519" s="59">
        <v>0</v>
      </c>
      <c r="G519" s="59">
        <v>0</v>
      </c>
      <c r="H519" s="59">
        <v>0</v>
      </c>
      <c r="I519" s="59">
        <v>0</v>
      </c>
      <c r="J519" s="59">
        <v>0</v>
      </c>
      <c r="K519" s="59">
        <v>0</v>
      </c>
      <c r="L519" s="59">
        <v>0</v>
      </c>
      <c r="M519" s="59">
        <v>0</v>
      </c>
      <c r="N519" s="59">
        <v>0</v>
      </c>
      <c r="O519" s="59">
        <v>0</v>
      </c>
      <c r="P519" s="59">
        <v>0</v>
      </c>
      <c r="Q519" s="59">
        <v>0</v>
      </c>
      <c r="S519" s="51" t="b">
        <f t="shared" si="144"/>
        <v>1</v>
      </c>
      <c r="U519" s="60" t="e">
        <v>#N/A</v>
      </c>
      <c r="V519" s="51" t="str">
        <f t="shared" si="145"/>
        <v>BPA Peaking</v>
      </c>
      <c r="W519" s="60" t="e">
        <v>#N/A</v>
      </c>
      <c r="X519" s="51" t="str">
        <f t="shared" si="146"/>
        <v>BPA PEAKING REPLACEMENT</v>
      </c>
      <c r="Y519" s="60"/>
      <c r="AA519" s="60"/>
      <c r="AC519" s="54"/>
      <c r="AG519" s="62" t="str">
        <f t="shared" si="147"/>
        <v>Hide Row</v>
      </c>
    </row>
    <row r="520" spans="1:33" s="64" customFormat="1">
      <c r="A520" s="71"/>
      <c r="C520" s="58" t="s">
        <v>391</v>
      </c>
      <c r="E520" s="59">
        <f t="shared" si="143"/>
        <v>0</v>
      </c>
      <c r="F520" s="59">
        <v>0</v>
      </c>
      <c r="G520" s="59">
        <v>0</v>
      </c>
      <c r="H520" s="59">
        <v>0</v>
      </c>
      <c r="I520" s="59">
        <v>0</v>
      </c>
      <c r="J520" s="59">
        <v>0</v>
      </c>
      <c r="K520" s="59">
        <v>0</v>
      </c>
      <c r="L520" s="59">
        <v>0</v>
      </c>
      <c r="M520" s="59">
        <v>0</v>
      </c>
      <c r="N520" s="59">
        <v>0</v>
      </c>
      <c r="O520" s="59">
        <v>0</v>
      </c>
      <c r="P520" s="59">
        <v>0</v>
      </c>
      <c r="Q520" s="59">
        <v>0</v>
      </c>
      <c r="R520" s="53"/>
      <c r="S520" s="51" t="b">
        <f t="shared" si="144"/>
        <v>1</v>
      </c>
      <c r="T520" s="54"/>
      <c r="U520" s="60" t="e">
        <v>#N/A</v>
      </c>
      <c r="V520" s="51" t="str">
        <f t="shared" si="145"/>
        <v>BPA SO. IDAHO EXCHANGE IN</v>
      </c>
      <c r="W520" s="60" t="e">
        <v>#N/A</v>
      </c>
      <c r="X520" s="51" t="str">
        <f t="shared" si="146"/>
        <v>BPA SO. IDAHO EXCHANGE OUT</v>
      </c>
      <c r="Y520" s="60" t="e">
        <v>#N/A</v>
      </c>
      <c r="Z520" s="51" t="str">
        <f>Z190</f>
        <v>BPA PALISADES STORAGE</v>
      </c>
      <c r="AA520" s="60" t="e">
        <v>#N/A</v>
      </c>
      <c r="AB520" s="51" t="str">
        <f>AB190</f>
        <v>BPA PALISADES RETURN</v>
      </c>
      <c r="AC520" s="54"/>
      <c r="AD520" s="51"/>
      <c r="AE520" s="51"/>
      <c r="AF520" s="51"/>
      <c r="AG520" s="62" t="str">
        <f t="shared" si="147"/>
        <v>Hide Row</v>
      </c>
    </row>
    <row r="521" spans="1:33" hidden="1">
      <c r="C521" s="58" t="s">
        <v>396</v>
      </c>
      <c r="E521" s="59">
        <f>SUM(F521:Q521)</f>
        <v>0</v>
      </c>
      <c r="F521" s="59">
        <v>0</v>
      </c>
      <c r="G521" s="59">
        <v>0</v>
      </c>
      <c r="H521" s="59">
        <v>0</v>
      </c>
      <c r="I521" s="59">
        <v>0</v>
      </c>
      <c r="J521" s="59">
        <v>0</v>
      </c>
      <c r="K521" s="59">
        <v>0</v>
      </c>
      <c r="L521" s="59">
        <v>0</v>
      </c>
      <c r="M521" s="59">
        <v>0</v>
      </c>
      <c r="N521" s="59">
        <v>0</v>
      </c>
      <c r="O521" s="59">
        <v>0</v>
      </c>
      <c r="P521" s="59">
        <v>0</v>
      </c>
      <c r="Q521" s="59">
        <v>0</v>
      </c>
      <c r="S521" s="51" t="b">
        <f t="shared" si="144"/>
        <v>1</v>
      </c>
      <c r="U521" s="60" t="e">
        <v>#N/A</v>
      </c>
      <c r="V521" s="51" t="str">
        <f t="shared" si="145"/>
        <v>Cargill p483225</v>
      </c>
      <c r="W521" s="60" t="e">
        <v>#N/A</v>
      </c>
      <c r="X521" s="51" t="str">
        <f t="shared" si="146"/>
        <v>Cargill s483226</v>
      </c>
      <c r="Y521" s="60" t="e">
        <v>#N/A</v>
      </c>
      <c r="Z521" s="51" t="str">
        <f>Z191</f>
        <v>Cargill p485290</v>
      </c>
      <c r="AA521" s="60" t="e">
        <v>#N/A</v>
      </c>
      <c r="AB521" s="51" t="str">
        <f>AB191</f>
        <v>Cargill s485289</v>
      </c>
      <c r="AC521" s="54"/>
      <c r="AG521" s="62" t="str">
        <f>IF(OR(ISNUMBER(U521),ISNUMBER(W521),ISNUMBER(Y521),ISNUMBER(AA521),ISNUMBER(AC521)),"","Hide Row")</f>
        <v>Hide Row</v>
      </c>
    </row>
    <row r="522" spans="1:33">
      <c r="C522" s="58" t="s">
        <v>401</v>
      </c>
      <c r="E522" s="59">
        <f t="shared" si="143"/>
        <v>-15553.638167089999</v>
      </c>
      <c r="F522" s="59">
        <v>131.11964699999953</v>
      </c>
      <c r="G522" s="59">
        <v>-2099.7113385000011</v>
      </c>
      <c r="H522" s="59">
        <v>-2457.2501526000015</v>
      </c>
      <c r="I522" s="59">
        <v>-1343.0488122000006</v>
      </c>
      <c r="J522" s="59">
        <v>-1014.2092214500008</v>
      </c>
      <c r="K522" s="59">
        <v>-958.39462479999929</v>
      </c>
      <c r="L522" s="59">
        <v>-150.33789920000004</v>
      </c>
      <c r="M522" s="59">
        <v>-1440.325928440001</v>
      </c>
      <c r="N522" s="59">
        <v>-1762.2715089999983</v>
      </c>
      <c r="O522" s="59">
        <v>-2896.2644759999966</v>
      </c>
      <c r="P522" s="59">
        <v>-1449.3824378999998</v>
      </c>
      <c r="Q522" s="59">
        <v>-113.56141399999979</v>
      </c>
      <c r="S522" s="51" t="b">
        <f t="shared" si="144"/>
        <v>1</v>
      </c>
      <c r="U522" s="60">
        <v>3</v>
      </c>
      <c r="V522" s="51" t="str">
        <f t="shared" si="145"/>
        <v>Cowlitz Swift deliver</v>
      </c>
      <c r="W522" s="60"/>
      <c r="Y522" s="60"/>
      <c r="AA522" s="60"/>
      <c r="AC522" s="61">
        <v>25</v>
      </c>
      <c r="AD522" s="51" t="s">
        <v>543</v>
      </c>
      <c r="AG522" s="62" t="str">
        <f t="shared" si="147"/>
        <v/>
      </c>
    </row>
    <row r="523" spans="1:33" ht="13.5" customHeight="1">
      <c r="C523" s="58" t="s">
        <v>403</v>
      </c>
      <c r="E523" s="59">
        <f t="shared" si="143"/>
        <v>0</v>
      </c>
      <c r="F523" s="59">
        <v>0</v>
      </c>
      <c r="G523" s="59">
        <v>0</v>
      </c>
      <c r="H523" s="59">
        <v>0</v>
      </c>
      <c r="I523" s="59">
        <v>0</v>
      </c>
      <c r="J523" s="59">
        <v>0</v>
      </c>
      <c r="K523" s="59">
        <v>0</v>
      </c>
      <c r="L523" s="59">
        <v>0</v>
      </c>
      <c r="M523" s="59">
        <v>0</v>
      </c>
      <c r="N523" s="59">
        <v>0</v>
      </c>
      <c r="O523" s="59">
        <v>0</v>
      </c>
      <c r="P523" s="59">
        <v>0</v>
      </c>
      <c r="Q523" s="59">
        <v>0</v>
      </c>
      <c r="S523" s="51" t="b">
        <f t="shared" si="144"/>
        <v>1</v>
      </c>
      <c r="U523" s="60" t="e">
        <v>#N/A</v>
      </c>
      <c r="V523" s="51" t="str">
        <f t="shared" si="145"/>
        <v>EWEB FC I Generation</v>
      </c>
      <c r="W523" s="60" t="e">
        <v>#N/A</v>
      </c>
      <c r="X523" s="51" t="str">
        <f t="shared" ref="X523:X529" si="148">X193</f>
        <v>EWEB FC I delivery</v>
      </c>
      <c r="Y523" s="60" t="e">
        <v>#N/A</v>
      </c>
      <c r="Z523" s="51" t="str">
        <f>Z193</f>
        <v>EWEB/BPA Wind Sale</v>
      </c>
      <c r="AA523" s="60"/>
      <c r="AC523" s="54"/>
      <c r="AG523" s="62" t="str">
        <f t="shared" si="147"/>
        <v>Hide Row</v>
      </c>
    </row>
    <row r="524" spans="1:33">
      <c r="C524" s="58" t="s">
        <v>407</v>
      </c>
      <c r="E524" s="59">
        <f t="shared" si="143"/>
        <v>0</v>
      </c>
      <c r="F524" s="59">
        <v>0</v>
      </c>
      <c r="G524" s="59">
        <v>0</v>
      </c>
      <c r="H524" s="59">
        <v>0</v>
      </c>
      <c r="I524" s="59">
        <v>0</v>
      </c>
      <c r="J524" s="59">
        <v>0</v>
      </c>
      <c r="K524" s="59">
        <v>0</v>
      </c>
      <c r="L524" s="59">
        <v>0</v>
      </c>
      <c r="M524" s="59">
        <v>0</v>
      </c>
      <c r="N524" s="59">
        <v>0</v>
      </c>
      <c r="O524" s="59">
        <v>0</v>
      </c>
      <c r="P524" s="59">
        <v>0</v>
      </c>
      <c r="Q524" s="59">
        <v>0</v>
      </c>
      <c r="S524" s="51" t="b">
        <f t="shared" si="144"/>
        <v>1</v>
      </c>
      <c r="U524" s="60" t="e">
        <v>#N/A</v>
      </c>
      <c r="V524" s="51" t="str">
        <f t="shared" si="145"/>
        <v>PSCo Exchange</v>
      </c>
      <c r="W524" s="60" t="e">
        <v>#N/A</v>
      </c>
      <c r="X524" s="51" t="str">
        <f t="shared" si="148"/>
        <v>PSCo Exchange deliver</v>
      </c>
      <c r="Y524" s="60"/>
      <c r="AA524" s="60"/>
      <c r="AC524" s="54"/>
      <c r="AG524" s="62" t="str">
        <f t="shared" si="147"/>
        <v>Hide Row</v>
      </c>
    </row>
    <row r="525" spans="1:33">
      <c r="C525" s="58" t="s">
        <v>410</v>
      </c>
      <c r="E525" s="59">
        <f t="shared" si="143"/>
        <v>0</v>
      </c>
      <c r="F525" s="59">
        <v>0</v>
      </c>
      <c r="G525" s="59">
        <v>0</v>
      </c>
      <c r="H525" s="59">
        <v>0</v>
      </c>
      <c r="I525" s="59">
        <v>0</v>
      </c>
      <c r="J525" s="59">
        <v>0</v>
      </c>
      <c r="K525" s="59">
        <v>0</v>
      </c>
      <c r="L525" s="59">
        <v>0</v>
      </c>
      <c r="M525" s="59">
        <v>0</v>
      </c>
      <c r="N525" s="59">
        <v>0</v>
      </c>
      <c r="O525" s="59">
        <v>0</v>
      </c>
      <c r="P525" s="59">
        <v>0</v>
      </c>
      <c r="Q525" s="59">
        <v>0</v>
      </c>
      <c r="S525" s="51" t="b">
        <f t="shared" si="144"/>
        <v>1</v>
      </c>
      <c r="U525" s="60" t="e">
        <v>#N/A</v>
      </c>
      <c r="V525" s="51" t="str">
        <f t="shared" si="145"/>
        <v>PSCo FC III Generation</v>
      </c>
      <c r="W525" s="60" t="e">
        <v>#N/A</v>
      </c>
      <c r="X525" s="51" t="str">
        <f t="shared" si="148"/>
        <v>PSCo FC III delivery</v>
      </c>
      <c r="Y525" s="60"/>
      <c r="AA525" s="60"/>
      <c r="AC525" s="54"/>
      <c r="AG525" s="62" t="str">
        <f t="shared" si="147"/>
        <v>Hide Row</v>
      </c>
    </row>
    <row r="526" spans="1:33">
      <c r="C526" s="58" t="s">
        <v>413</v>
      </c>
      <c r="E526" s="59">
        <f t="shared" si="143"/>
        <v>0</v>
      </c>
      <c r="F526" s="59">
        <v>0</v>
      </c>
      <c r="G526" s="59">
        <v>0</v>
      </c>
      <c r="H526" s="59">
        <v>0</v>
      </c>
      <c r="I526" s="59">
        <v>0</v>
      </c>
      <c r="J526" s="59">
        <v>0</v>
      </c>
      <c r="K526" s="59">
        <v>0</v>
      </c>
      <c r="L526" s="59">
        <v>0</v>
      </c>
      <c r="M526" s="59">
        <v>0</v>
      </c>
      <c r="N526" s="59">
        <v>0</v>
      </c>
      <c r="O526" s="59">
        <v>0</v>
      </c>
      <c r="P526" s="59">
        <v>0</v>
      </c>
      <c r="Q526" s="59">
        <v>0</v>
      </c>
      <c r="S526" s="51" t="b">
        <f t="shared" si="144"/>
        <v>1</v>
      </c>
      <c r="U526" s="60" t="e">
        <v>#N/A</v>
      </c>
      <c r="V526" s="51" t="str">
        <f t="shared" si="145"/>
        <v>REDDING EXCHANGE IN</v>
      </c>
      <c r="W526" s="60" t="e">
        <v>#N/A</v>
      </c>
      <c r="X526" s="51" t="str">
        <f t="shared" si="148"/>
        <v>REDDING EXCHANGE OUT</v>
      </c>
      <c r="Y526" s="60"/>
      <c r="AA526" s="60"/>
      <c r="AC526" s="54"/>
      <c r="AG526" s="62" t="str">
        <f t="shared" si="147"/>
        <v>Hide Row</v>
      </c>
    </row>
    <row r="527" spans="1:33">
      <c r="C527" s="58" t="s">
        <v>416</v>
      </c>
      <c r="E527" s="59">
        <f t="shared" si="143"/>
        <v>16853.278738196001</v>
      </c>
      <c r="F527" s="59">
        <v>10454.598067249997</v>
      </c>
      <c r="G527" s="59">
        <v>-9137.544681000003</v>
      </c>
      <c r="H527" s="59">
        <v>5257.4284940000016</v>
      </c>
      <c r="I527" s="59">
        <v>-1969.1007464100003</v>
      </c>
      <c r="J527" s="59">
        <v>-6076.5432122899983</v>
      </c>
      <c r="K527" s="59">
        <v>-2984.0211069999987</v>
      </c>
      <c r="L527" s="59">
        <v>1541.830453720002</v>
      </c>
      <c r="M527" s="59">
        <v>8052.9224860999966</v>
      </c>
      <c r="N527" s="59">
        <v>474.19363874000192</v>
      </c>
      <c r="O527" s="59">
        <v>2128.8087728109986</v>
      </c>
      <c r="P527" s="59">
        <v>-3399.0003474999994</v>
      </c>
      <c r="Q527" s="59">
        <v>12509.706919775002</v>
      </c>
      <c r="S527" s="51" t="b">
        <f t="shared" si="144"/>
        <v>1</v>
      </c>
      <c r="U527" s="60">
        <v>22</v>
      </c>
      <c r="V527" s="51" t="str">
        <f t="shared" si="145"/>
        <v>SCL State Line generation</v>
      </c>
      <c r="W527" s="60">
        <v>20</v>
      </c>
      <c r="X527" s="51" t="str">
        <f t="shared" si="148"/>
        <v>SCL State Line delivery</v>
      </c>
      <c r="Y527" s="60">
        <v>23</v>
      </c>
      <c r="Z527" s="51" t="str">
        <f>Z197</f>
        <v>SCL State Line reserves</v>
      </c>
      <c r="AA527" s="60">
        <v>21</v>
      </c>
      <c r="AB527" s="51" t="s">
        <v>420</v>
      </c>
      <c r="AC527" s="54"/>
      <c r="AG527" s="62" t="str">
        <f t="shared" si="147"/>
        <v/>
      </c>
    </row>
    <row r="528" spans="1:33" hidden="1">
      <c r="C528" s="58" t="s">
        <v>421</v>
      </c>
      <c r="E528" s="59">
        <f>SUM(F528:Q528)</f>
        <v>0</v>
      </c>
      <c r="F528" s="59">
        <v>0</v>
      </c>
      <c r="G528" s="59">
        <v>0</v>
      </c>
      <c r="H528" s="59">
        <v>0</v>
      </c>
      <c r="I528" s="59">
        <v>0</v>
      </c>
      <c r="J528" s="59">
        <v>0</v>
      </c>
      <c r="K528" s="59">
        <v>0</v>
      </c>
      <c r="L528" s="59">
        <v>0</v>
      </c>
      <c r="M528" s="59">
        <v>0</v>
      </c>
      <c r="N528" s="59">
        <v>0</v>
      </c>
      <c r="O528" s="59">
        <v>0</v>
      </c>
      <c r="P528" s="59">
        <v>0</v>
      </c>
      <c r="Q528" s="59">
        <v>0</v>
      </c>
      <c r="S528" s="51" t="b">
        <f t="shared" si="144"/>
        <v>1</v>
      </c>
      <c r="U528" s="60" t="e">
        <v>#N/A</v>
      </c>
      <c r="V528" s="51" t="str">
        <f t="shared" si="145"/>
        <v>Shell p489963</v>
      </c>
      <c r="W528" s="60" t="e">
        <v>#N/A</v>
      </c>
      <c r="X528" s="51" t="str">
        <f t="shared" si="148"/>
        <v>Shell s489962</v>
      </c>
      <c r="Y528" s="60"/>
      <c r="AA528" s="60"/>
      <c r="AB528" s="70"/>
      <c r="AC528" s="54"/>
      <c r="AG528" s="62" t="str">
        <f>IF(OR(ISNUMBER(U528),ISNUMBER(W528),ISNUMBER(Y528),ISNUMBER(AA528),ISNUMBER(AC528)),"","Hide Row")</f>
        <v>Hide Row</v>
      </c>
    </row>
    <row r="529" spans="2:33" hidden="1">
      <c r="C529" s="58" t="s">
        <v>424</v>
      </c>
      <c r="E529" s="59">
        <f t="shared" si="143"/>
        <v>0</v>
      </c>
      <c r="F529" s="59">
        <v>0</v>
      </c>
      <c r="G529" s="59">
        <v>0</v>
      </c>
      <c r="H529" s="59">
        <v>0</v>
      </c>
      <c r="I529" s="59">
        <v>0</v>
      </c>
      <c r="J529" s="59">
        <v>0</v>
      </c>
      <c r="K529" s="59">
        <v>0</v>
      </c>
      <c r="L529" s="59">
        <v>0</v>
      </c>
      <c r="M529" s="59">
        <v>0</v>
      </c>
      <c r="N529" s="59">
        <v>0</v>
      </c>
      <c r="O529" s="59">
        <v>0</v>
      </c>
      <c r="P529" s="59">
        <v>0</v>
      </c>
      <c r="Q529" s="59">
        <v>0</v>
      </c>
      <c r="S529" s="51" t="b">
        <f t="shared" si="144"/>
        <v>1</v>
      </c>
      <c r="U529" s="60" t="e">
        <v>#N/A</v>
      </c>
      <c r="V529" s="51" t="str">
        <f t="shared" si="145"/>
        <v>TransAlta p371343</v>
      </c>
      <c r="W529" s="60" t="e">
        <v>#N/A</v>
      </c>
      <c r="X529" s="51" t="str">
        <f t="shared" si="148"/>
        <v>TransAlta s371344</v>
      </c>
      <c r="Y529" s="60"/>
      <c r="AA529" s="60"/>
      <c r="AB529" s="70"/>
      <c r="AC529" s="54"/>
      <c r="AG529" s="62" t="str">
        <f t="shared" si="147"/>
        <v>Hide Row</v>
      </c>
    </row>
    <row r="530" spans="2:33" hidden="1">
      <c r="C530" s="58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U530" s="60"/>
      <c r="W530" s="60"/>
      <c r="Y530" s="60"/>
      <c r="AA530" s="60"/>
      <c r="AB530" s="70"/>
      <c r="AC530" s="54"/>
      <c r="AG530" s="62" t="str">
        <f t="shared" si="147"/>
        <v>Hide Row</v>
      </c>
    </row>
    <row r="531" spans="2:33" hidden="1">
      <c r="C531" s="58" t="s">
        <v>427</v>
      </c>
      <c r="E531" s="65">
        <f>SUM(F531:Q531)</f>
        <v>0</v>
      </c>
      <c r="F531" s="65">
        <v>0</v>
      </c>
      <c r="G531" s="65">
        <v>0</v>
      </c>
      <c r="H531" s="65">
        <v>0</v>
      </c>
      <c r="I531" s="65">
        <v>0</v>
      </c>
      <c r="J531" s="65">
        <v>0</v>
      </c>
      <c r="K531" s="65">
        <v>0</v>
      </c>
      <c r="L531" s="65">
        <v>0</v>
      </c>
      <c r="M531" s="65">
        <v>0</v>
      </c>
      <c r="N531" s="65">
        <v>0</v>
      </c>
      <c r="O531" s="65">
        <v>0</v>
      </c>
      <c r="P531" s="65">
        <v>0</v>
      </c>
      <c r="Q531" s="65">
        <v>0</v>
      </c>
      <c r="S531" s="51" t="b">
        <f>C201=C531</f>
        <v>1</v>
      </c>
      <c r="U531" s="60" t="e">
        <v>#N/A</v>
      </c>
      <c r="V531" s="51" t="str">
        <f>V201</f>
        <v>Tri-State Exchange</v>
      </c>
      <c r="W531" s="60" t="e">
        <v>#N/A</v>
      </c>
      <c r="X531" s="51" t="str">
        <f>X201</f>
        <v>Tri-State Exchange return</v>
      </c>
      <c r="Y531" s="60"/>
      <c r="AA531" s="60"/>
      <c r="AC531" s="54"/>
      <c r="AG531" s="62" t="str">
        <f t="shared" si="147"/>
        <v>Hide Row</v>
      </c>
    </row>
    <row r="532" spans="2:33"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AC532" s="54"/>
    </row>
    <row r="533" spans="2:33">
      <c r="B533" s="51" t="str">
        <f>B203</f>
        <v>Total Storage &amp; Exchange</v>
      </c>
      <c r="E533" s="59">
        <f>SUM(F533:Q533)</f>
        <v>1299.6405711060015</v>
      </c>
      <c r="F533" s="59">
        <f t="shared" ref="F533:Q533" si="149">SUM(F513:F532)</f>
        <v>10585.717714249997</v>
      </c>
      <c r="G533" s="59">
        <f t="shared" si="149"/>
        <v>-11237.256019500004</v>
      </c>
      <c r="H533" s="59">
        <f t="shared" si="149"/>
        <v>2800.1783414000001</v>
      </c>
      <c r="I533" s="59">
        <f t="shared" si="149"/>
        <v>-3312.1495586100009</v>
      </c>
      <c r="J533" s="59">
        <f t="shared" si="149"/>
        <v>-7090.7524337399991</v>
      </c>
      <c r="K533" s="59">
        <f t="shared" si="149"/>
        <v>-3942.415731799998</v>
      </c>
      <c r="L533" s="59">
        <f t="shared" si="149"/>
        <v>1391.4925545200019</v>
      </c>
      <c r="M533" s="59">
        <f t="shared" si="149"/>
        <v>6612.5965576599956</v>
      </c>
      <c r="N533" s="59">
        <f t="shared" si="149"/>
        <v>-1288.0778702599964</v>
      </c>
      <c r="O533" s="59">
        <f t="shared" si="149"/>
        <v>-767.45570318899809</v>
      </c>
      <c r="P533" s="59">
        <f t="shared" si="149"/>
        <v>-4848.3827853999992</v>
      </c>
      <c r="Q533" s="59">
        <f t="shared" si="149"/>
        <v>12396.145505775003</v>
      </c>
    </row>
    <row r="534" spans="2:33"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U534" s="60" t="e">
        <v>#N/A</v>
      </c>
      <c r="AC534" s="54"/>
    </row>
    <row r="535" spans="2:33">
      <c r="B535" s="51" t="str">
        <f>B205</f>
        <v>Short Term Firm Purchases</v>
      </c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U535" s="41" t="s">
        <v>544</v>
      </c>
      <c r="W535" s="54"/>
      <c r="AC535" s="54"/>
    </row>
    <row r="536" spans="2:33">
      <c r="C536" s="58" t="s">
        <v>90</v>
      </c>
      <c r="E536" s="59">
        <f t="shared" ref="E536:E549" si="150">SUM(F536:Q536)</f>
        <v>0</v>
      </c>
      <c r="F536" s="59">
        <v>0</v>
      </c>
      <c r="G536" s="59">
        <v>0</v>
      </c>
      <c r="H536" s="59">
        <v>0</v>
      </c>
      <c r="I536" s="59">
        <v>0</v>
      </c>
      <c r="J536" s="59">
        <v>0</v>
      </c>
      <c r="K536" s="59">
        <v>0</v>
      </c>
      <c r="L536" s="59">
        <v>0</v>
      </c>
      <c r="M536" s="59">
        <v>0</v>
      </c>
      <c r="N536" s="59">
        <v>0</v>
      </c>
      <c r="O536" s="59">
        <v>0</v>
      </c>
      <c r="P536" s="59">
        <v>0</v>
      </c>
      <c r="Q536" s="59">
        <v>0</v>
      </c>
      <c r="S536" s="51" t="b">
        <f t="shared" ref="S536:S549" si="151">C206=C536</f>
        <v>1</v>
      </c>
      <c r="U536" s="60" t="e">
        <v>#N/A</v>
      </c>
      <c r="V536" s="51" t="str">
        <f t="shared" ref="V536:V549" si="152">V206</f>
        <v>COB</v>
      </c>
      <c r="W536" s="60"/>
      <c r="Y536" s="60"/>
      <c r="Z536" s="54"/>
      <c r="AA536" s="60"/>
      <c r="AC536" s="60"/>
      <c r="AG536" s="62" t="str">
        <f>IF(OR(ISNUMBER(U536),ISNUMBER(W536),ISNUMBER(Y536),ISNUMBER(AA536),ISNUMBER(Y557)),"","Hide Row")</f>
        <v/>
      </c>
    </row>
    <row r="537" spans="2:33" hidden="1">
      <c r="C537" s="58" t="s">
        <v>91</v>
      </c>
      <c r="E537" s="59">
        <f t="shared" si="150"/>
        <v>0</v>
      </c>
      <c r="F537" s="59">
        <v>0</v>
      </c>
      <c r="G537" s="59">
        <v>0</v>
      </c>
      <c r="H537" s="59">
        <v>0</v>
      </c>
      <c r="I537" s="59">
        <v>0</v>
      </c>
      <c r="J537" s="59">
        <v>0</v>
      </c>
      <c r="K537" s="59">
        <v>0</v>
      </c>
      <c r="L537" s="59">
        <v>0</v>
      </c>
      <c r="M537" s="59">
        <v>0</v>
      </c>
      <c r="N537" s="59">
        <v>0</v>
      </c>
      <c r="O537" s="59">
        <v>0</v>
      </c>
      <c r="P537" s="59">
        <v>0</v>
      </c>
      <c r="Q537" s="59">
        <v>0</v>
      </c>
      <c r="S537" s="51" t="b">
        <f t="shared" si="151"/>
        <v>1</v>
      </c>
      <c r="U537" s="60" t="e">
        <v>#N/A</v>
      </c>
      <c r="V537" s="51" t="str">
        <f t="shared" si="152"/>
        <v>Colorado</v>
      </c>
      <c r="W537" s="60"/>
      <c r="Y537" s="60" t="e">
        <v>#N/A</v>
      </c>
      <c r="Z537" s="51" t="str">
        <f>Z207</f>
        <v>Tri-State MP</v>
      </c>
      <c r="AA537" s="60"/>
      <c r="AC537" s="60"/>
      <c r="AG537" s="62" t="str">
        <f t="shared" ref="AG537:AG552" si="153">IF(OR(ISNUMBER(U537),ISNUMBER(W537),ISNUMBER(Y537),ISNUMBER(AA537),ISNUMBER(AC537)),"","Hide Row")</f>
        <v>Hide Row</v>
      </c>
    </row>
    <row r="538" spans="2:33">
      <c r="C538" s="58" t="s">
        <v>93</v>
      </c>
      <c r="E538" s="59">
        <f t="shared" si="150"/>
        <v>0</v>
      </c>
      <c r="F538" s="59">
        <v>0</v>
      </c>
      <c r="G538" s="59">
        <v>0</v>
      </c>
      <c r="H538" s="59">
        <v>0</v>
      </c>
      <c r="I538" s="59">
        <v>0</v>
      </c>
      <c r="J538" s="59">
        <v>0</v>
      </c>
      <c r="K538" s="59">
        <v>0</v>
      </c>
      <c r="L538" s="59">
        <v>0</v>
      </c>
      <c r="M538" s="59">
        <v>0</v>
      </c>
      <c r="N538" s="59">
        <v>0</v>
      </c>
      <c r="O538" s="59">
        <v>0</v>
      </c>
      <c r="P538" s="59">
        <v>0</v>
      </c>
      <c r="Q538" s="59">
        <v>0</v>
      </c>
      <c r="S538" s="51" t="b">
        <f t="shared" si="151"/>
        <v>1</v>
      </c>
      <c r="U538" s="60" t="e">
        <v>#N/A</v>
      </c>
      <c r="V538" s="51" t="str">
        <f t="shared" si="152"/>
        <v>Four Corners</v>
      </c>
      <c r="W538" s="60"/>
      <c r="X538" s="54"/>
      <c r="Y538" s="60" t="e">
        <v>#N/A</v>
      </c>
      <c r="Z538" s="51" t="str">
        <f>Z208</f>
        <v>APS</v>
      </c>
      <c r="AA538" s="60"/>
      <c r="AC538" s="60"/>
      <c r="AG538" s="62" t="str">
        <f>IF(OR(ISNUMBER(U538),ISNUMBER(W538),ISNUMBER(Y538),ISNUMBER(AA538),ISNUMBER(Y558)),"","Hide Row")</f>
        <v>Hide Row</v>
      </c>
    </row>
    <row r="539" spans="2:33" hidden="1">
      <c r="C539" s="58" t="s">
        <v>95</v>
      </c>
      <c r="E539" s="59">
        <f t="shared" si="150"/>
        <v>0</v>
      </c>
      <c r="F539" s="59">
        <v>0</v>
      </c>
      <c r="G539" s="59">
        <v>0</v>
      </c>
      <c r="H539" s="59">
        <v>0</v>
      </c>
      <c r="I539" s="59">
        <v>0</v>
      </c>
      <c r="J539" s="59">
        <v>0</v>
      </c>
      <c r="K539" s="59">
        <v>0</v>
      </c>
      <c r="L539" s="59">
        <v>0</v>
      </c>
      <c r="M539" s="59">
        <v>0</v>
      </c>
      <c r="N539" s="59">
        <v>0</v>
      </c>
      <c r="O539" s="59">
        <v>0</v>
      </c>
      <c r="P539" s="59">
        <v>0</v>
      </c>
      <c r="Q539" s="59">
        <v>0</v>
      </c>
      <c r="S539" s="51" t="b">
        <f t="shared" si="151"/>
        <v>1</v>
      </c>
      <c r="U539" s="60" t="e">
        <v>#N/A</v>
      </c>
      <c r="V539" s="51" t="str">
        <f t="shared" si="152"/>
        <v>Goshen</v>
      </c>
      <c r="W539" s="60" t="e">
        <v>#N/A</v>
      </c>
      <c r="X539" s="51" t="str">
        <f>X209</f>
        <v>Path C</v>
      </c>
      <c r="Y539" s="60" t="e">
        <v>#N/A</v>
      </c>
      <c r="Z539" s="51" t="str">
        <f>Z209</f>
        <v>Brady</v>
      </c>
      <c r="AA539" s="60" t="e">
        <v>#N/A</v>
      </c>
      <c r="AB539" s="51" t="str">
        <f>AB209</f>
        <v>Idaho</v>
      </c>
      <c r="AC539" s="60" t="e">
        <v>#N/A</v>
      </c>
      <c r="AD539" s="51" t="str">
        <f>AD209</f>
        <v>IPC West</v>
      </c>
      <c r="AG539" s="62" t="str">
        <f t="shared" si="153"/>
        <v>Hide Row</v>
      </c>
    </row>
    <row r="540" spans="2:33" hidden="1">
      <c r="C540" s="58" t="s">
        <v>100</v>
      </c>
      <c r="E540" s="59">
        <f t="shared" si="150"/>
        <v>0</v>
      </c>
      <c r="F540" s="59">
        <v>0</v>
      </c>
      <c r="G540" s="59">
        <v>0</v>
      </c>
      <c r="H540" s="59">
        <v>0</v>
      </c>
      <c r="I540" s="59">
        <v>0</v>
      </c>
      <c r="J540" s="59">
        <v>0</v>
      </c>
      <c r="K540" s="59">
        <v>0</v>
      </c>
      <c r="L540" s="59">
        <v>0</v>
      </c>
      <c r="M540" s="59">
        <v>0</v>
      </c>
      <c r="N540" s="59">
        <v>0</v>
      </c>
      <c r="O540" s="59">
        <v>0</v>
      </c>
      <c r="P540" s="59">
        <v>0</v>
      </c>
      <c r="Q540" s="59">
        <v>0</v>
      </c>
      <c r="S540" s="51" t="b">
        <f t="shared" si="151"/>
        <v>1</v>
      </c>
      <c r="U540" s="60" t="e">
        <v>#N/A</v>
      </c>
      <c r="V540" s="51" t="str">
        <f t="shared" si="152"/>
        <v>Mead</v>
      </c>
      <c r="W540" s="60" t="e">
        <v>#N/A</v>
      </c>
      <c r="X540" s="51">
        <f>X210</f>
        <v>0</v>
      </c>
      <c r="Y540" s="60" t="e">
        <v>#N/A</v>
      </c>
      <c r="Z540" s="51">
        <f>Z210</f>
        <v>0</v>
      </c>
      <c r="AA540" s="60"/>
      <c r="AC540" s="60"/>
      <c r="AG540" s="62" t="str">
        <f t="shared" si="153"/>
        <v>Hide Row</v>
      </c>
    </row>
    <row r="541" spans="2:33">
      <c r="C541" s="58" t="s">
        <v>101</v>
      </c>
      <c r="E541" s="59">
        <f t="shared" si="150"/>
        <v>144800</v>
      </c>
      <c r="F541" s="59">
        <v>123200</v>
      </c>
      <c r="G541" s="59">
        <v>0</v>
      </c>
      <c r="H541" s="59">
        <v>0</v>
      </c>
      <c r="I541" s="59">
        <v>0</v>
      </c>
      <c r="J541" s="59">
        <v>0</v>
      </c>
      <c r="K541" s="59">
        <v>0</v>
      </c>
      <c r="L541" s="59">
        <v>21600</v>
      </c>
      <c r="M541" s="59">
        <v>0</v>
      </c>
      <c r="N541" s="59">
        <v>0</v>
      </c>
      <c r="O541" s="59">
        <v>0</v>
      </c>
      <c r="P541" s="59">
        <v>0</v>
      </c>
      <c r="Q541" s="59">
        <v>0</v>
      </c>
      <c r="S541" s="51" t="b">
        <f t="shared" si="151"/>
        <v>1</v>
      </c>
      <c r="U541" s="60">
        <v>1</v>
      </c>
      <c r="V541" s="51" t="str">
        <f t="shared" si="152"/>
        <v>Mid Columbia</v>
      </c>
      <c r="W541" s="60"/>
      <c r="X541" s="54"/>
      <c r="Y541" s="60" t="e">
        <v>#N/A</v>
      </c>
      <c r="Z541" s="51" t="str">
        <f>Z211</f>
        <v>BPA FPT</v>
      </c>
      <c r="AA541" s="60"/>
      <c r="AC541" s="60"/>
      <c r="AG541" s="62" t="str">
        <f t="shared" si="153"/>
        <v/>
      </c>
    </row>
    <row r="542" spans="2:33">
      <c r="C542" s="58" t="s">
        <v>103</v>
      </c>
      <c r="E542" s="59">
        <f t="shared" si="150"/>
        <v>0</v>
      </c>
      <c r="F542" s="59">
        <v>0</v>
      </c>
      <c r="G542" s="59">
        <v>0</v>
      </c>
      <c r="H542" s="59">
        <v>0</v>
      </c>
      <c r="I542" s="59">
        <v>0</v>
      </c>
      <c r="J542" s="59">
        <v>0</v>
      </c>
      <c r="K542" s="59">
        <v>0</v>
      </c>
      <c r="L542" s="59">
        <v>0</v>
      </c>
      <c r="M542" s="59">
        <v>0</v>
      </c>
      <c r="N542" s="59">
        <v>0</v>
      </c>
      <c r="O542" s="59">
        <v>0</v>
      </c>
      <c r="P542" s="59">
        <v>0</v>
      </c>
      <c r="Q542" s="59">
        <v>0</v>
      </c>
      <c r="S542" s="51" t="b">
        <f t="shared" si="151"/>
        <v>1</v>
      </c>
      <c r="U542" s="60" t="e">
        <v>#N/A</v>
      </c>
      <c r="V542" s="51" t="str">
        <f t="shared" si="152"/>
        <v>Mona</v>
      </c>
      <c r="W542" s="60"/>
      <c r="X542" s="54"/>
      <c r="Y542" s="60"/>
      <c r="Z542" s="54"/>
      <c r="AA542" s="60"/>
      <c r="AC542" s="60"/>
      <c r="AG542" s="62" t="str">
        <f>IF(OR(ISNUMBER(U542),ISNUMBER(W542),ISNUMBER(Y542),ISNUMBER(AA542),ISNUMBER(Y561)),"","Hide Row")</f>
        <v>Hide Row</v>
      </c>
    </row>
    <row r="543" spans="2:33" hidden="1">
      <c r="C543" s="58" t="s">
        <v>104</v>
      </c>
      <c r="E543" s="59">
        <f t="shared" ref="E543" si="154">SUM(F543:Q543)</f>
        <v>0</v>
      </c>
      <c r="F543" s="59">
        <v>0</v>
      </c>
      <c r="G543" s="59">
        <v>0</v>
      </c>
      <c r="H543" s="59">
        <v>0</v>
      </c>
      <c r="I543" s="59">
        <v>0</v>
      </c>
      <c r="J543" s="59">
        <v>0</v>
      </c>
      <c r="K543" s="59">
        <v>0</v>
      </c>
      <c r="L543" s="59">
        <v>0</v>
      </c>
      <c r="M543" s="59">
        <v>0</v>
      </c>
      <c r="N543" s="59">
        <v>0</v>
      </c>
      <c r="O543" s="59">
        <v>0</v>
      </c>
      <c r="P543" s="59">
        <v>0</v>
      </c>
      <c r="Q543" s="59">
        <v>0</v>
      </c>
      <c r="S543" s="51" t="b">
        <f t="shared" si="151"/>
        <v>1</v>
      </c>
      <c r="U543" s="60" t="e">
        <v>#N/A</v>
      </c>
      <c r="V543" s="51" t="str">
        <f t="shared" si="152"/>
        <v>NOB</v>
      </c>
      <c r="W543" s="60"/>
      <c r="X543" s="54"/>
      <c r="Y543" s="60"/>
      <c r="Z543" s="54"/>
      <c r="AA543" s="60"/>
      <c r="AC543" s="60"/>
      <c r="AG543" s="62" t="str">
        <f>IF(OR(ISNUMBER(U543),ISNUMBER(W543),ISNUMBER(Y543),ISNUMBER(AA543),ISNUMBER(Y562)),"","Hide Row")</f>
        <v>Hide Row</v>
      </c>
    </row>
    <row r="544" spans="2:33" hidden="1">
      <c r="C544" s="58" t="s">
        <v>105</v>
      </c>
      <c r="E544" s="59">
        <f t="shared" si="150"/>
        <v>0</v>
      </c>
      <c r="F544" s="59">
        <v>0</v>
      </c>
      <c r="G544" s="59">
        <v>0</v>
      </c>
      <c r="H544" s="59">
        <v>0</v>
      </c>
      <c r="I544" s="59">
        <v>0</v>
      </c>
      <c r="J544" s="59">
        <v>0</v>
      </c>
      <c r="K544" s="59">
        <v>0</v>
      </c>
      <c r="L544" s="59">
        <v>0</v>
      </c>
      <c r="M544" s="59">
        <v>0</v>
      </c>
      <c r="N544" s="59">
        <v>0</v>
      </c>
      <c r="O544" s="59">
        <v>0</v>
      </c>
      <c r="P544" s="59">
        <v>0</v>
      </c>
      <c r="Q544" s="59">
        <v>0</v>
      </c>
      <c r="S544" s="51" t="b">
        <f t="shared" si="151"/>
        <v>1</v>
      </c>
      <c r="U544" s="60" t="e">
        <v>#N/A</v>
      </c>
      <c r="V544" s="51" t="str">
        <f t="shared" si="152"/>
        <v>Palo Verde</v>
      </c>
      <c r="W544" s="60" t="e">
        <v>#N/A</v>
      </c>
      <c r="X544" s="51" t="str">
        <f>X214</f>
        <v>Cholla</v>
      </c>
      <c r="Y544" s="60" t="e">
        <v>#N/A</v>
      </c>
      <c r="Z544" s="51" t="str">
        <f>Z214</f>
        <v>PP-GC</v>
      </c>
      <c r="AA544" s="60"/>
      <c r="AC544" s="60"/>
      <c r="AG544" s="62" t="str">
        <f t="shared" si="153"/>
        <v>Hide Row</v>
      </c>
    </row>
    <row r="545" spans="1:33" hidden="1">
      <c r="C545" s="58" t="s">
        <v>108</v>
      </c>
      <c r="E545" s="59">
        <f t="shared" si="150"/>
        <v>0</v>
      </c>
      <c r="F545" s="59">
        <v>0</v>
      </c>
      <c r="G545" s="59">
        <v>0</v>
      </c>
      <c r="H545" s="59">
        <v>0</v>
      </c>
      <c r="I545" s="59">
        <v>0</v>
      </c>
      <c r="J545" s="59">
        <v>0</v>
      </c>
      <c r="K545" s="59">
        <v>0</v>
      </c>
      <c r="L545" s="59">
        <v>0</v>
      </c>
      <c r="M545" s="59">
        <v>0</v>
      </c>
      <c r="N545" s="59">
        <v>0</v>
      </c>
      <c r="O545" s="59">
        <v>0</v>
      </c>
      <c r="P545" s="59">
        <v>0</v>
      </c>
      <c r="Q545" s="59">
        <v>0</v>
      </c>
      <c r="S545" s="51" t="b">
        <f t="shared" si="151"/>
        <v>1</v>
      </c>
      <c r="U545" s="60" t="e">
        <v>#N/A</v>
      </c>
      <c r="V545" s="51" t="str">
        <f t="shared" si="152"/>
        <v>SP15</v>
      </c>
      <c r="W545" s="60"/>
      <c r="Y545" s="60"/>
      <c r="Z545" s="54"/>
      <c r="AA545" s="60"/>
      <c r="AC545" s="60"/>
      <c r="AG545" s="62" t="str">
        <f t="shared" si="153"/>
        <v>Hide Row</v>
      </c>
    </row>
    <row r="546" spans="1:33" hidden="1">
      <c r="C546" s="58" t="s">
        <v>109</v>
      </c>
      <c r="E546" s="59">
        <f t="shared" si="150"/>
        <v>0</v>
      </c>
      <c r="F546" s="59">
        <v>0</v>
      </c>
      <c r="G546" s="59">
        <v>0</v>
      </c>
      <c r="H546" s="59">
        <v>0</v>
      </c>
      <c r="I546" s="59">
        <v>0</v>
      </c>
      <c r="J546" s="59">
        <v>0</v>
      </c>
      <c r="K546" s="59">
        <v>0</v>
      </c>
      <c r="L546" s="59">
        <v>0</v>
      </c>
      <c r="M546" s="59">
        <v>0</v>
      </c>
      <c r="N546" s="59">
        <v>0</v>
      </c>
      <c r="O546" s="59">
        <v>0</v>
      </c>
      <c r="P546" s="59">
        <v>0</v>
      </c>
      <c r="Q546" s="59">
        <v>0</v>
      </c>
      <c r="S546" s="51" t="b">
        <f t="shared" si="151"/>
        <v>1</v>
      </c>
      <c r="U546" s="60" t="e">
        <v>#N/A</v>
      </c>
      <c r="V546" s="51" t="str">
        <f t="shared" si="152"/>
        <v>Utah North</v>
      </c>
      <c r="W546" s="60" t="e">
        <v>#N/A</v>
      </c>
      <c r="X546" s="51" t="str">
        <f>X216</f>
        <v>Utah South</v>
      </c>
      <c r="Y546" s="60" t="e">
        <v>#N/A</v>
      </c>
      <c r="Z546" s="51" t="str">
        <f>Z216</f>
        <v>Path C North</v>
      </c>
      <c r="AA546" s="60"/>
      <c r="AC546" s="60"/>
      <c r="AG546" s="62" t="str">
        <f t="shared" si="153"/>
        <v>Hide Row</v>
      </c>
    </row>
    <row r="547" spans="1:33" hidden="1">
      <c r="C547" s="58" t="s">
        <v>10</v>
      </c>
      <c r="E547" s="59">
        <f t="shared" si="150"/>
        <v>0</v>
      </c>
      <c r="F547" s="59">
        <v>0</v>
      </c>
      <c r="G547" s="59">
        <v>0</v>
      </c>
      <c r="H547" s="59">
        <v>0</v>
      </c>
      <c r="I547" s="59">
        <v>0</v>
      </c>
      <c r="J547" s="59">
        <v>0</v>
      </c>
      <c r="K547" s="59">
        <v>0</v>
      </c>
      <c r="L547" s="59">
        <v>0</v>
      </c>
      <c r="M547" s="59">
        <v>0</v>
      </c>
      <c r="N547" s="59">
        <v>0</v>
      </c>
      <c r="O547" s="59">
        <v>0</v>
      </c>
      <c r="P547" s="59">
        <v>0</v>
      </c>
      <c r="Q547" s="59">
        <v>0</v>
      </c>
      <c r="S547" s="51" t="b">
        <f t="shared" si="151"/>
        <v>1</v>
      </c>
      <c r="U547" s="60" t="e">
        <v>#N/A</v>
      </c>
      <c r="V547" s="51" t="str">
        <f t="shared" si="152"/>
        <v>Yakima</v>
      </c>
      <c r="W547" s="60" t="e">
        <v>#N/A</v>
      </c>
      <c r="X547" s="51" t="str">
        <f>X217</f>
        <v>Walla Walla</v>
      </c>
      <c r="Y547" s="60" t="e">
        <v>#N/A</v>
      </c>
      <c r="Z547" s="51" t="str">
        <f>Z217</f>
        <v>Chehalis</v>
      </c>
      <c r="AA547" s="60"/>
      <c r="AC547" s="60"/>
      <c r="AG547" s="62" t="str">
        <f t="shared" si="153"/>
        <v>Hide Row</v>
      </c>
    </row>
    <row r="548" spans="1:33" hidden="1">
      <c r="C548" s="58" t="s">
        <v>118</v>
      </c>
      <c r="E548" s="59">
        <f t="shared" si="150"/>
        <v>0</v>
      </c>
      <c r="F548" s="59">
        <v>0</v>
      </c>
      <c r="G548" s="59">
        <v>0</v>
      </c>
      <c r="H548" s="59">
        <v>0</v>
      </c>
      <c r="I548" s="59">
        <v>0</v>
      </c>
      <c r="J548" s="59">
        <v>0</v>
      </c>
      <c r="K548" s="59">
        <v>0</v>
      </c>
      <c r="L548" s="59">
        <v>0</v>
      </c>
      <c r="M548" s="59">
        <v>0</v>
      </c>
      <c r="N548" s="59">
        <v>0</v>
      </c>
      <c r="O548" s="59">
        <v>0</v>
      </c>
      <c r="P548" s="59">
        <v>0</v>
      </c>
      <c r="Q548" s="59">
        <v>0</v>
      </c>
      <c r="S548" s="51" t="b">
        <f t="shared" si="151"/>
        <v>1</v>
      </c>
      <c r="U548" s="60" t="e">
        <v>#N/A</v>
      </c>
      <c r="V548" s="51" t="str">
        <f t="shared" si="152"/>
        <v>West Main</v>
      </c>
      <c r="W548" s="60" t="e">
        <v>#N/A</v>
      </c>
      <c r="X548" s="51" t="str">
        <f>X218</f>
        <v>Jim Bridger</v>
      </c>
      <c r="Y548" s="60" t="e">
        <v>#N/A</v>
      </c>
      <c r="Z548" s="51" t="str">
        <f>Z218</f>
        <v>Amps-Colstrip</v>
      </c>
      <c r="AA548" s="60"/>
      <c r="AC548" s="60"/>
      <c r="AG548" s="62" t="str">
        <f t="shared" si="153"/>
        <v>Hide Row</v>
      </c>
    </row>
    <row r="549" spans="1:33" hidden="1">
      <c r="C549" s="58" t="s">
        <v>122</v>
      </c>
      <c r="E549" s="59">
        <f t="shared" si="150"/>
        <v>0</v>
      </c>
      <c r="F549" s="59">
        <v>0</v>
      </c>
      <c r="G549" s="59">
        <v>0</v>
      </c>
      <c r="H549" s="59">
        <v>0</v>
      </c>
      <c r="I549" s="59">
        <v>0</v>
      </c>
      <c r="J549" s="59">
        <v>0</v>
      </c>
      <c r="K549" s="59">
        <v>0</v>
      </c>
      <c r="L549" s="59">
        <v>0</v>
      </c>
      <c r="M549" s="59">
        <v>0</v>
      </c>
      <c r="N549" s="59">
        <v>0</v>
      </c>
      <c r="O549" s="59">
        <v>0</v>
      </c>
      <c r="P549" s="59">
        <v>0</v>
      </c>
      <c r="Q549" s="59">
        <v>0</v>
      </c>
      <c r="R549" s="54"/>
      <c r="S549" s="51" t="b">
        <f t="shared" si="151"/>
        <v>1</v>
      </c>
      <c r="U549" s="60" t="e">
        <v>#N/A</v>
      </c>
      <c r="V549" s="51" t="str">
        <f t="shared" si="152"/>
        <v>Wyoming Northeast</v>
      </c>
      <c r="W549" s="60" t="e">
        <v>#N/A</v>
      </c>
      <c r="X549" s="51" t="str">
        <f>X219</f>
        <v>Wyoming Central</v>
      </c>
      <c r="Y549" s="60" t="e">
        <v>#N/A</v>
      </c>
      <c r="Z549" s="51" t="str">
        <f>Z219</f>
        <v>Trona</v>
      </c>
      <c r="AA549" s="60"/>
      <c r="AC549" s="60"/>
      <c r="AG549" s="62" t="str">
        <f t="shared" si="153"/>
        <v>Hide Row</v>
      </c>
    </row>
    <row r="550" spans="1:33" hidden="1">
      <c r="C550" s="58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4"/>
      <c r="U550" s="60"/>
      <c r="W550" s="60"/>
      <c r="Y550" s="60"/>
      <c r="AA550" s="60"/>
      <c r="AC550" s="60"/>
      <c r="AG550" s="62" t="str">
        <f t="shared" si="153"/>
        <v>Hide Row</v>
      </c>
    </row>
    <row r="551" spans="1:33" hidden="1">
      <c r="C551" s="58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4"/>
      <c r="U551" s="60"/>
      <c r="W551" s="60"/>
      <c r="Y551" s="60"/>
      <c r="AA551" s="60"/>
      <c r="AC551" s="60"/>
      <c r="AG551" s="62" t="str">
        <f t="shared" si="153"/>
        <v>Hide Row</v>
      </c>
    </row>
    <row r="552" spans="1:33" s="72" customFormat="1" hidden="1">
      <c r="A552" s="73"/>
      <c r="C552" s="58" t="s">
        <v>132</v>
      </c>
      <c r="D552" s="51"/>
      <c r="E552" s="65">
        <f>SUM(F552:Q552)</f>
        <v>0</v>
      </c>
      <c r="F552" s="65">
        <v>0</v>
      </c>
      <c r="G552" s="65">
        <v>0</v>
      </c>
      <c r="H552" s="65">
        <v>0</v>
      </c>
      <c r="I552" s="65">
        <v>0</v>
      </c>
      <c r="J552" s="65">
        <v>0</v>
      </c>
      <c r="K552" s="65">
        <v>0</v>
      </c>
      <c r="L552" s="65">
        <v>0</v>
      </c>
      <c r="M552" s="65">
        <v>0</v>
      </c>
      <c r="N552" s="65">
        <v>0</v>
      </c>
      <c r="O552" s="65">
        <v>0</v>
      </c>
      <c r="P552" s="65">
        <v>0</v>
      </c>
      <c r="Q552" s="65">
        <v>0</v>
      </c>
      <c r="R552" s="75"/>
      <c r="S552" s="51" t="b">
        <f>C223=C552</f>
        <v>1</v>
      </c>
      <c r="T552" s="54"/>
      <c r="U552" s="60" t="e">
        <v>#N/A</v>
      </c>
      <c r="V552" s="51" t="str">
        <f>V223</f>
        <v>STF Index Trades - Buy - West</v>
      </c>
      <c r="W552" s="60" t="e">
        <v>#N/A</v>
      </c>
      <c r="X552" s="51" t="str">
        <f>X223</f>
        <v>STF Index Trades - Buy - East</v>
      </c>
      <c r="Y552" s="60"/>
      <c r="Z552" s="54"/>
      <c r="AA552" s="60"/>
      <c r="AB552" s="51"/>
      <c r="AC552" s="60"/>
      <c r="AD552" s="51"/>
      <c r="AE552" s="51"/>
      <c r="AF552" s="51"/>
      <c r="AG552" s="62" t="str">
        <f t="shared" si="153"/>
        <v>Hide Row</v>
      </c>
    </row>
    <row r="553" spans="1:33" s="72" customFormat="1">
      <c r="A553" s="73"/>
      <c r="C553" s="97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53"/>
      <c r="T553" s="54"/>
      <c r="U553" s="51"/>
      <c r="V553" s="51"/>
      <c r="W553" s="51"/>
      <c r="X553" s="51"/>
      <c r="Y553" s="51"/>
      <c r="Z553" s="51"/>
      <c r="AA553" s="51"/>
      <c r="AB553" s="51"/>
      <c r="AC553" s="54"/>
      <c r="AD553" s="51"/>
      <c r="AE553" s="51"/>
      <c r="AF553" s="51"/>
    </row>
    <row r="554" spans="1:33" s="64" customFormat="1">
      <c r="A554" s="71"/>
      <c r="B554" s="64" t="str">
        <f>B225</f>
        <v>Total Short Term Firm Purchases</v>
      </c>
      <c r="C554" s="58"/>
      <c r="E554" s="66">
        <f>SUM(F554:Q554)</f>
        <v>144800</v>
      </c>
      <c r="F554" s="66">
        <f t="shared" ref="F554:Q554" si="155">SUM(F536:F552)</f>
        <v>123200</v>
      </c>
      <c r="G554" s="66">
        <f t="shared" si="155"/>
        <v>0</v>
      </c>
      <c r="H554" s="66">
        <f t="shared" si="155"/>
        <v>0</v>
      </c>
      <c r="I554" s="66">
        <f t="shared" si="155"/>
        <v>0</v>
      </c>
      <c r="J554" s="66">
        <f t="shared" si="155"/>
        <v>0</v>
      </c>
      <c r="K554" s="66">
        <f t="shared" si="155"/>
        <v>0</v>
      </c>
      <c r="L554" s="66">
        <f t="shared" si="155"/>
        <v>21600</v>
      </c>
      <c r="M554" s="66">
        <f t="shared" si="155"/>
        <v>0</v>
      </c>
      <c r="N554" s="66">
        <f t="shared" si="155"/>
        <v>0</v>
      </c>
      <c r="O554" s="66">
        <f t="shared" si="155"/>
        <v>0</v>
      </c>
      <c r="P554" s="66">
        <f t="shared" si="155"/>
        <v>0</v>
      </c>
      <c r="Q554" s="66">
        <f t="shared" si="155"/>
        <v>0</v>
      </c>
      <c r="R554" s="132"/>
      <c r="T554" s="88"/>
      <c r="AC554" s="88"/>
    </row>
    <row r="555" spans="1:33"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AC555" s="54"/>
    </row>
    <row r="556" spans="1:33">
      <c r="B556" s="51" t="str">
        <f>B227</f>
        <v>System Balancing Purchases</v>
      </c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U556" s="41" t="s">
        <v>545</v>
      </c>
      <c r="AC556" s="54"/>
    </row>
    <row r="557" spans="1:33">
      <c r="C557" s="58" t="s">
        <v>90</v>
      </c>
      <c r="E557" s="59">
        <f t="shared" ref="E557:E565" si="156">SUM(F557:Q557)</f>
        <v>207310.02741000001</v>
      </c>
      <c r="F557" s="59">
        <v>14463.739000000001</v>
      </c>
      <c r="G557" s="59">
        <v>35176.75</v>
      </c>
      <c r="H557" s="59">
        <v>61722.198000000004</v>
      </c>
      <c r="I557" s="59">
        <v>16160.743999999999</v>
      </c>
      <c r="J557" s="59">
        <v>502.46227999999996</v>
      </c>
      <c r="K557" s="59">
        <v>5940</v>
      </c>
      <c r="L557" s="59">
        <v>8637.1200000000008</v>
      </c>
      <c r="M557" s="59">
        <v>7485.8330000000005</v>
      </c>
      <c r="N557" s="59">
        <v>18099.927930000002</v>
      </c>
      <c r="O557" s="59">
        <v>21316.478000000003</v>
      </c>
      <c r="P557" s="59">
        <v>3206.7712000000001</v>
      </c>
      <c r="Q557" s="59">
        <v>14598.003999999999</v>
      </c>
      <c r="S557" s="51" t="b">
        <f t="shared" ref="S557:S565" si="157">C228=C557</f>
        <v>1</v>
      </c>
      <c r="U557" s="60">
        <v>1</v>
      </c>
      <c r="V557" s="51" t="str">
        <f t="shared" ref="V557:V564" si="158">V228</f>
        <v>COB</v>
      </c>
      <c r="W557" s="60" t="e">
        <v>#N/A</v>
      </c>
      <c r="X557" s="51">
        <f>X228</f>
        <v>0</v>
      </c>
      <c r="Y557" s="61">
        <v>1</v>
      </c>
      <c r="Z557" s="51" t="str">
        <f>Z228</f>
        <v>Cal ISO West - COB Purchase</v>
      </c>
      <c r="AC557" s="54"/>
      <c r="AG557" s="62" t="str">
        <f>IF(OR(ISNUMBER(U557),ISNUMBER(W557),ISNUMBER(#REF!),ISNUMBER(AA557),ISNUMBER(AC557)),"","Hide Row")</f>
        <v/>
      </c>
    </row>
    <row r="558" spans="1:33">
      <c r="C558" s="58" t="s">
        <v>93</v>
      </c>
      <c r="E558" s="59">
        <f t="shared" si="156"/>
        <v>0</v>
      </c>
      <c r="F558" s="59">
        <v>0</v>
      </c>
      <c r="G558" s="59">
        <v>0</v>
      </c>
      <c r="H558" s="59">
        <v>0</v>
      </c>
      <c r="I558" s="59">
        <v>0</v>
      </c>
      <c r="J558" s="59">
        <v>0</v>
      </c>
      <c r="K558" s="59">
        <v>0</v>
      </c>
      <c r="L558" s="59">
        <v>0</v>
      </c>
      <c r="M558" s="59">
        <v>0</v>
      </c>
      <c r="N558" s="59">
        <v>0</v>
      </c>
      <c r="O558" s="59">
        <v>0</v>
      </c>
      <c r="P558" s="59">
        <v>0</v>
      </c>
      <c r="Q558" s="59">
        <v>0</v>
      </c>
      <c r="S558" s="51" t="b">
        <f t="shared" si="157"/>
        <v>1</v>
      </c>
      <c r="U558" s="60" t="e">
        <v>#N/A</v>
      </c>
      <c r="V558" s="51" t="str">
        <f t="shared" si="158"/>
        <v>Four Corners</v>
      </c>
      <c r="W558" s="60" t="e">
        <v>#N/A</v>
      </c>
      <c r="X558" s="51" t="str">
        <f>X229</f>
        <v>DSW</v>
      </c>
      <c r="Y558" s="61" t="e">
        <v>#N/A</v>
      </c>
      <c r="Z558" s="51" t="str">
        <f>Z229</f>
        <v>Cal ISO East - Four Corners Purchase</v>
      </c>
      <c r="AC558" s="54"/>
      <c r="AG558" s="62" t="str">
        <f>IF(OR(ISNUMBER(U558),ISNUMBER(W558),ISNUMBER(#REF!),ISNUMBER(AA558),ISNUMBER(AC558)),"","Hide Row")</f>
        <v>Hide Row</v>
      </c>
    </row>
    <row r="559" spans="1:33">
      <c r="C559" s="58" t="s">
        <v>100</v>
      </c>
      <c r="E559" s="59">
        <f t="shared" ref="E559" si="159">SUM(F559:Q559)</f>
        <v>0</v>
      </c>
      <c r="F559" s="59">
        <v>0</v>
      </c>
      <c r="G559" s="59">
        <v>0</v>
      </c>
      <c r="H559" s="59">
        <v>0</v>
      </c>
      <c r="I559" s="59">
        <v>0</v>
      </c>
      <c r="J559" s="59">
        <v>0</v>
      </c>
      <c r="K559" s="59">
        <v>0</v>
      </c>
      <c r="L559" s="59">
        <v>0</v>
      </c>
      <c r="M559" s="59">
        <v>0</v>
      </c>
      <c r="N559" s="59">
        <v>0</v>
      </c>
      <c r="O559" s="59">
        <v>0</v>
      </c>
      <c r="P559" s="59">
        <v>0</v>
      </c>
      <c r="Q559" s="59">
        <v>0</v>
      </c>
      <c r="S559" s="51" t="b">
        <f t="shared" si="157"/>
        <v>1</v>
      </c>
      <c r="U559" s="60" t="e">
        <v>#N/A</v>
      </c>
      <c r="V559" s="51" t="str">
        <f t="shared" si="158"/>
        <v>Mead</v>
      </c>
      <c r="W559" s="60" t="e">
        <v>#N/A</v>
      </c>
      <c r="X559" s="51">
        <f>X230</f>
        <v>0</v>
      </c>
      <c r="AC559" s="54"/>
      <c r="AG559" s="62" t="str">
        <f t="shared" ref="AG559:AG564" si="160">IF(OR(ISNUMBER(U559),ISNUMBER(W559),ISNUMBER(Y559),ISNUMBER(AA559),ISNUMBER(AC559)),"","Hide Row")</f>
        <v>Hide Row</v>
      </c>
    </row>
    <row r="560" spans="1:33" s="72" customFormat="1">
      <c r="A560" s="73"/>
      <c r="C560" s="58" t="s">
        <v>101</v>
      </c>
      <c r="E560" s="59">
        <f t="shared" si="156"/>
        <v>2814515.3099999991</v>
      </c>
      <c r="F560" s="59">
        <v>296768.46999999997</v>
      </c>
      <c r="G560" s="59">
        <v>556639.75</v>
      </c>
      <c r="H560" s="59">
        <v>597613.1</v>
      </c>
      <c r="I560" s="59">
        <v>296958.84000000003</v>
      </c>
      <c r="J560" s="59">
        <v>209476.4</v>
      </c>
      <c r="K560" s="59">
        <v>69344.37</v>
      </c>
      <c r="L560" s="59">
        <v>107272.28</v>
      </c>
      <c r="M560" s="59">
        <v>104608.92</v>
      </c>
      <c r="N560" s="59">
        <v>125676.57</v>
      </c>
      <c r="O560" s="59">
        <v>95760.07</v>
      </c>
      <c r="P560" s="59">
        <v>137355.81</v>
      </c>
      <c r="Q560" s="59">
        <v>217040.73</v>
      </c>
      <c r="R560" s="53"/>
      <c r="S560" s="51" t="b">
        <f t="shared" si="157"/>
        <v>1</v>
      </c>
      <c r="T560" s="54"/>
      <c r="U560" s="60">
        <v>2</v>
      </c>
      <c r="V560" s="51" t="str">
        <f t="shared" si="158"/>
        <v>Mid Columbia</v>
      </c>
      <c r="W560" s="54"/>
      <c r="X560" s="54"/>
      <c r="Y560" s="51"/>
      <c r="Z560" s="51"/>
      <c r="AA560" s="51"/>
      <c r="AB560" s="51"/>
      <c r="AC560" s="54"/>
      <c r="AD560" s="51"/>
      <c r="AE560" s="51"/>
      <c r="AF560" s="51"/>
      <c r="AG560" s="62" t="str">
        <f t="shared" si="160"/>
        <v/>
      </c>
    </row>
    <row r="561" spans="1:33" s="72" customFormat="1">
      <c r="A561" s="73"/>
      <c r="C561" s="58" t="s">
        <v>103</v>
      </c>
      <c r="E561" s="59">
        <f t="shared" si="156"/>
        <v>0</v>
      </c>
      <c r="F561" s="59">
        <v>0</v>
      </c>
      <c r="G561" s="59">
        <v>0</v>
      </c>
      <c r="H561" s="59">
        <v>0</v>
      </c>
      <c r="I561" s="59">
        <v>0</v>
      </c>
      <c r="J561" s="59">
        <v>0</v>
      </c>
      <c r="K561" s="59">
        <v>0</v>
      </c>
      <c r="L561" s="59">
        <v>0</v>
      </c>
      <c r="M561" s="59">
        <v>0</v>
      </c>
      <c r="N561" s="59">
        <v>0</v>
      </c>
      <c r="O561" s="59">
        <v>0</v>
      </c>
      <c r="P561" s="59">
        <v>0</v>
      </c>
      <c r="Q561" s="59">
        <v>0</v>
      </c>
      <c r="R561" s="53"/>
      <c r="S561" s="51" t="b">
        <f t="shared" si="157"/>
        <v>1</v>
      </c>
      <c r="T561" s="54"/>
      <c r="U561" s="60" t="e">
        <v>#N/A</v>
      </c>
      <c r="V561" s="51" t="str">
        <f t="shared" si="158"/>
        <v>Mona</v>
      </c>
      <c r="W561" s="54"/>
      <c r="X561" s="54"/>
      <c r="Y561" s="61" t="e">
        <v>#N/A</v>
      </c>
      <c r="Z561" s="51" t="str">
        <f>Z232</f>
        <v>Cal ISO East - Mona Purchase</v>
      </c>
      <c r="AA561" s="51"/>
      <c r="AB561" s="51"/>
      <c r="AC561" s="54"/>
      <c r="AD561" s="51"/>
      <c r="AE561" s="51"/>
      <c r="AF561" s="51"/>
      <c r="AG561" s="62" t="str">
        <f>IF(OR(ISNUMBER(U561),ISNUMBER(W561),ISNUMBER(#REF!),ISNUMBER(AA561),ISNUMBER(AC561)),"","Hide Row")</f>
        <v>Hide Row</v>
      </c>
    </row>
    <row r="562" spans="1:33" s="72" customFormat="1">
      <c r="A562" s="73"/>
      <c r="C562" s="58" t="s">
        <v>104</v>
      </c>
      <c r="E562" s="59">
        <f t="shared" ref="E562" si="161">SUM(F562:Q562)</f>
        <v>12810.073979999999</v>
      </c>
      <c r="F562" s="59">
        <v>1466.7802999999999</v>
      </c>
      <c r="G562" s="59">
        <v>801.37599999999998</v>
      </c>
      <c r="H562" s="59">
        <v>4842.7969999999996</v>
      </c>
      <c r="I562" s="59">
        <v>2550.8942999999999</v>
      </c>
      <c r="J562" s="59">
        <v>0</v>
      </c>
      <c r="K562" s="59">
        <v>0</v>
      </c>
      <c r="L562" s="59">
        <v>0</v>
      </c>
      <c r="M562" s="59">
        <v>67.879363999999995</v>
      </c>
      <c r="N562" s="59">
        <v>2955.64</v>
      </c>
      <c r="O562" s="59">
        <v>0</v>
      </c>
      <c r="P562" s="59">
        <v>0</v>
      </c>
      <c r="Q562" s="59">
        <v>124.707016</v>
      </c>
      <c r="R562" s="53"/>
      <c r="S562" s="51" t="b">
        <f t="shared" si="157"/>
        <v>1</v>
      </c>
      <c r="T562" s="54"/>
      <c r="U562" s="60">
        <v>3</v>
      </c>
      <c r="V562" s="51" t="str">
        <f t="shared" si="158"/>
        <v>NOB</v>
      </c>
      <c r="W562" s="54"/>
      <c r="X562" s="54"/>
      <c r="Y562" s="51"/>
      <c r="Z562" s="51"/>
      <c r="AA562" s="51"/>
      <c r="AB562" s="51"/>
      <c r="AC562" s="54"/>
      <c r="AD562" s="51"/>
      <c r="AE562" s="51"/>
      <c r="AF562" s="51"/>
      <c r="AG562" s="62" t="str">
        <f t="shared" ref="AG562" si="162">IF(OR(ISNUMBER(U562),ISNUMBER(W562),ISNUMBER(Y562),ISNUMBER(AA562),ISNUMBER(AC562)),"","Hide Row")</f>
        <v/>
      </c>
    </row>
    <row r="563" spans="1:33" s="72" customFormat="1">
      <c r="A563" s="73"/>
      <c r="C563" s="58" t="s">
        <v>105</v>
      </c>
      <c r="E563" s="59">
        <f t="shared" si="156"/>
        <v>0</v>
      </c>
      <c r="F563" s="59">
        <v>0</v>
      </c>
      <c r="G563" s="59">
        <v>0</v>
      </c>
      <c r="H563" s="59">
        <v>0</v>
      </c>
      <c r="I563" s="59">
        <v>0</v>
      </c>
      <c r="J563" s="59">
        <v>0</v>
      </c>
      <c r="K563" s="59">
        <v>0</v>
      </c>
      <c r="L563" s="59">
        <v>0</v>
      </c>
      <c r="M563" s="59">
        <v>0</v>
      </c>
      <c r="N563" s="59">
        <v>0</v>
      </c>
      <c r="O563" s="59">
        <v>0</v>
      </c>
      <c r="P563" s="59">
        <v>0</v>
      </c>
      <c r="Q563" s="59">
        <v>0</v>
      </c>
      <c r="R563" s="53"/>
      <c r="S563" s="51" t="b">
        <f t="shared" si="157"/>
        <v>1</v>
      </c>
      <c r="T563" s="54"/>
      <c r="U563" s="60" t="e">
        <v>#N/A</v>
      </c>
      <c r="V563" s="51" t="str">
        <f t="shared" si="158"/>
        <v>Palo Verde</v>
      </c>
      <c r="W563" s="54"/>
      <c r="X563" s="54"/>
      <c r="Y563" s="51"/>
      <c r="Z563" s="51"/>
      <c r="AA563" s="51"/>
      <c r="AB563" s="51"/>
      <c r="AC563" s="54"/>
      <c r="AD563" s="51"/>
      <c r="AE563" s="51"/>
      <c r="AF563" s="51"/>
      <c r="AG563" s="62" t="str">
        <f t="shared" si="160"/>
        <v>Hide Row</v>
      </c>
    </row>
    <row r="564" spans="1:33">
      <c r="C564" s="58" t="s">
        <v>108</v>
      </c>
      <c r="E564" s="59">
        <f t="shared" si="156"/>
        <v>0</v>
      </c>
      <c r="F564" s="59">
        <v>0</v>
      </c>
      <c r="G564" s="59">
        <v>0</v>
      </c>
      <c r="H564" s="59">
        <v>0</v>
      </c>
      <c r="I564" s="59">
        <v>0</v>
      </c>
      <c r="J564" s="59">
        <v>0</v>
      </c>
      <c r="K564" s="59">
        <v>0</v>
      </c>
      <c r="L564" s="59">
        <v>0</v>
      </c>
      <c r="M564" s="59">
        <v>0</v>
      </c>
      <c r="N564" s="59">
        <v>0</v>
      </c>
      <c r="O564" s="59">
        <v>0</v>
      </c>
      <c r="P564" s="59">
        <v>0</v>
      </c>
      <c r="Q564" s="59">
        <v>0</v>
      </c>
      <c r="S564" s="51" t="b">
        <f t="shared" si="157"/>
        <v>1</v>
      </c>
      <c r="U564" s="60" t="e">
        <v>#N/A</v>
      </c>
      <c r="V564" s="51" t="str">
        <f t="shared" si="158"/>
        <v>SP15</v>
      </c>
      <c r="W564" s="54"/>
      <c r="X564" s="54"/>
      <c r="AC564" s="54"/>
      <c r="AG564" s="62" t="str">
        <f t="shared" si="160"/>
        <v>Hide Row</v>
      </c>
    </row>
    <row r="565" spans="1:33" s="72" customFormat="1">
      <c r="A565" s="73"/>
      <c r="C565" s="58" t="s">
        <v>443</v>
      </c>
      <c r="E565" s="65">
        <f t="shared" si="156"/>
        <v>0</v>
      </c>
      <c r="F565" s="65">
        <v>0</v>
      </c>
      <c r="G565" s="65">
        <v>0</v>
      </c>
      <c r="H565" s="65">
        <v>0</v>
      </c>
      <c r="I565" s="65">
        <v>0</v>
      </c>
      <c r="J565" s="65">
        <v>0</v>
      </c>
      <c r="K565" s="65">
        <v>0</v>
      </c>
      <c r="L565" s="65">
        <v>0</v>
      </c>
      <c r="M565" s="65">
        <v>0</v>
      </c>
      <c r="N565" s="65">
        <v>0</v>
      </c>
      <c r="O565" s="65">
        <v>0</v>
      </c>
      <c r="P565" s="65">
        <v>0</v>
      </c>
      <c r="Q565" s="65">
        <v>0</v>
      </c>
      <c r="R565" s="53"/>
      <c r="S565" s="51" t="b">
        <f t="shared" si="157"/>
        <v>1</v>
      </c>
      <c r="T565" s="54"/>
      <c r="U565" s="51"/>
      <c r="V565" s="51"/>
      <c r="W565" s="51"/>
      <c r="X565" s="51"/>
      <c r="Y565" s="51"/>
      <c r="Z565" s="63" t="s">
        <v>152</v>
      </c>
      <c r="AA565" s="51"/>
      <c r="AB565" s="51"/>
      <c r="AC565" s="54"/>
      <c r="AD565" s="51"/>
      <c r="AE565" s="51"/>
      <c r="AF565" s="51"/>
    </row>
    <row r="566" spans="1:33" s="72" customFormat="1">
      <c r="A566" s="73"/>
      <c r="C566" s="97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53"/>
      <c r="T566" s="54"/>
      <c r="U566" s="51"/>
      <c r="V566" s="51"/>
      <c r="W566" s="51"/>
      <c r="X566" s="51"/>
      <c r="Y566" s="51"/>
      <c r="Z566" s="63"/>
      <c r="AA566" s="51"/>
      <c r="AB566" s="51"/>
      <c r="AC566" s="54"/>
      <c r="AD566" s="51"/>
      <c r="AE566" s="51"/>
      <c r="AF566" s="51"/>
    </row>
    <row r="567" spans="1:33">
      <c r="B567" s="51" t="str">
        <f>B238</f>
        <v>Total System Balancing Purchases</v>
      </c>
      <c r="E567" s="66">
        <f>SUM(F567:Q567)</f>
        <v>3034635.41139</v>
      </c>
      <c r="F567" s="66">
        <f t="shared" ref="F567:Q567" si="163">SUM(F557:F565)</f>
        <v>312698.98929999996</v>
      </c>
      <c r="G567" s="66">
        <f t="shared" si="163"/>
        <v>592617.87600000005</v>
      </c>
      <c r="H567" s="66">
        <f t="shared" si="163"/>
        <v>664178.09499999997</v>
      </c>
      <c r="I567" s="66">
        <f t="shared" si="163"/>
        <v>315670.47830000002</v>
      </c>
      <c r="J567" s="66">
        <f t="shared" si="163"/>
        <v>209978.86228</v>
      </c>
      <c r="K567" s="66">
        <f t="shared" si="163"/>
        <v>75284.37</v>
      </c>
      <c r="L567" s="66">
        <f t="shared" si="163"/>
        <v>115909.4</v>
      </c>
      <c r="M567" s="66">
        <f t="shared" si="163"/>
        <v>112162.63236399999</v>
      </c>
      <c r="N567" s="66">
        <f t="shared" si="163"/>
        <v>146732.13793000003</v>
      </c>
      <c r="O567" s="66">
        <f t="shared" si="163"/>
        <v>117076.54800000001</v>
      </c>
      <c r="P567" s="66">
        <f t="shared" si="163"/>
        <v>140562.58119999999</v>
      </c>
      <c r="Q567" s="66">
        <f t="shared" si="163"/>
        <v>231763.441016</v>
      </c>
      <c r="AC567" s="54"/>
    </row>
    <row r="568" spans="1:33">
      <c r="E568" s="133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AC568" s="54"/>
    </row>
    <row r="569" spans="1:33" ht="15.75">
      <c r="A569" s="56" t="str">
        <f>A240&amp;" "</f>
        <v xml:space="preserve">Total Purchased Power &amp; Net Interchange </v>
      </c>
      <c r="E569" s="66">
        <f>SUM(F569:Q569)</f>
        <v>5000726.4086811868</v>
      </c>
      <c r="F569" s="66">
        <f t="shared" ref="F569:Q569" si="164">F510+F533+F554+F567</f>
        <v>591759.39868434984</v>
      </c>
      <c r="G569" s="66">
        <f t="shared" si="164"/>
        <v>669031.39264853101</v>
      </c>
      <c r="H569" s="66">
        <f t="shared" si="164"/>
        <v>732763.65250046994</v>
      </c>
      <c r="I569" s="66">
        <f t="shared" si="164"/>
        <v>500206.84741435002</v>
      </c>
      <c r="J569" s="66">
        <f t="shared" si="164"/>
        <v>391590.45987506001</v>
      </c>
      <c r="K569" s="66">
        <f t="shared" si="164"/>
        <v>222702.80963639999</v>
      </c>
      <c r="L569" s="66">
        <f t="shared" si="164"/>
        <v>322808.12776006002</v>
      </c>
      <c r="M569" s="66">
        <f t="shared" si="164"/>
        <v>286639.69847455999</v>
      </c>
      <c r="N569" s="66">
        <f t="shared" si="164"/>
        <v>318052.02690203005</v>
      </c>
      <c r="O569" s="66">
        <f t="shared" si="164"/>
        <v>290729.09321093105</v>
      </c>
      <c r="P569" s="66">
        <f t="shared" si="164"/>
        <v>281219.21678172</v>
      </c>
      <c r="Q569" s="66">
        <f t="shared" si="164"/>
        <v>393223.68479272502</v>
      </c>
      <c r="U569" s="72"/>
      <c r="V569" s="72"/>
      <c r="W569" s="72"/>
      <c r="Y569" s="72"/>
      <c r="Z569" s="72"/>
      <c r="AA569" s="72"/>
      <c r="AB569" s="72"/>
      <c r="AC569" s="54"/>
      <c r="AD569" s="72"/>
      <c r="AE569" s="72"/>
      <c r="AF569" s="72"/>
    </row>
    <row r="570" spans="1:33"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AC570" s="54"/>
    </row>
    <row r="571" spans="1:33" ht="15.75">
      <c r="A571" s="56" t="s">
        <v>546</v>
      </c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U571" s="41" t="s">
        <v>547</v>
      </c>
      <c r="AA571" s="41" t="s">
        <v>548</v>
      </c>
      <c r="AC571" s="54"/>
    </row>
    <row r="572" spans="1:33">
      <c r="C572" s="52" t="s">
        <v>453</v>
      </c>
      <c r="E572" s="59">
        <f t="shared" ref="E572:E581" si="165">SUM(F572:Q572)</f>
        <v>0</v>
      </c>
      <c r="F572" s="59">
        <v>0</v>
      </c>
      <c r="G572" s="59">
        <v>0</v>
      </c>
      <c r="H572" s="59">
        <v>0</v>
      </c>
      <c r="I572" s="59">
        <v>0</v>
      </c>
      <c r="J572" s="59">
        <v>0</v>
      </c>
      <c r="K572" s="59">
        <v>0</v>
      </c>
      <c r="L572" s="59">
        <v>0</v>
      </c>
      <c r="M572" s="59">
        <v>0</v>
      </c>
      <c r="N572" s="59">
        <v>0</v>
      </c>
      <c r="O572" s="59">
        <v>0</v>
      </c>
      <c r="P572" s="59">
        <v>0</v>
      </c>
      <c r="Q572" s="59">
        <v>0</v>
      </c>
      <c r="S572" s="51" t="b">
        <f t="shared" ref="S572:S581" si="166">C250=C572</f>
        <v>1</v>
      </c>
      <c r="U572" s="60" t="e">
        <v>#N/A</v>
      </c>
      <c r="V572" s="51" t="str">
        <f t="shared" ref="V572:V581" si="167">V250</f>
        <v>Carbon</v>
      </c>
      <c r="W572" s="60"/>
      <c r="Y572" s="60"/>
      <c r="AA572" s="60">
        <v>2</v>
      </c>
      <c r="AC572" s="54"/>
      <c r="AG572" s="62" t="str">
        <f t="shared" ref="AG572:AG584" si="168">IF(OR(ISNUMBER(U572),ISNUMBER(W572),ISNUMBER(Y572),ISNUMBER(AA572),ISNUMBER(AC572)),"","Hide Row")</f>
        <v/>
      </c>
    </row>
    <row r="573" spans="1:33">
      <c r="C573" s="52" t="s">
        <v>106</v>
      </c>
      <c r="E573" s="59">
        <f t="shared" si="165"/>
        <v>0</v>
      </c>
      <c r="F573" s="59">
        <v>0</v>
      </c>
      <c r="G573" s="59">
        <v>0</v>
      </c>
      <c r="H573" s="59">
        <v>0</v>
      </c>
      <c r="I573" s="59">
        <v>0</v>
      </c>
      <c r="J573" s="59">
        <v>0</v>
      </c>
      <c r="K573" s="59">
        <v>0</v>
      </c>
      <c r="L573" s="59">
        <v>0</v>
      </c>
      <c r="M573" s="59">
        <v>0</v>
      </c>
      <c r="N573" s="59">
        <v>0</v>
      </c>
      <c r="O573" s="59">
        <v>0</v>
      </c>
      <c r="P573" s="59">
        <v>0</v>
      </c>
      <c r="Q573" s="59">
        <v>0</v>
      </c>
      <c r="S573" s="51" t="b">
        <f t="shared" si="166"/>
        <v>1</v>
      </c>
      <c r="U573" s="60" t="e">
        <v>#N/A</v>
      </c>
      <c r="V573" s="51" t="str">
        <f t="shared" si="167"/>
        <v>Cholla</v>
      </c>
      <c r="W573" s="60"/>
      <c r="Y573" s="60"/>
      <c r="AA573" s="60">
        <v>4</v>
      </c>
      <c r="AC573" s="54"/>
      <c r="AG573" s="62" t="str">
        <f t="shared" si="168"/>
        <v/>
      </c>
    </row>
    <row r="574" spans="1:33">
      <c r="C574" s="52" t="s">
        <v>454</v>
      </c>
      <c r="E574" s="59">
        <f t="shared" si="165"/>
        <v>578613.29872437357</v>
      </c>
      <c r="F574" s="59">
        <v>48948.339050662158</v>
      </c>
      <c r="G574" s="59">
        <v>50281.766922266936</v>
      </c>
      <c r="H574" s="59">
        <v>30648.48</v>
      </c>
      <c r="I574" s="59">
        <v>50562.534279319421</v>
      </c>
      <c r="J574" s="59">
        <v>50609.850198661043</v>
      </c>
      <c r="K574" s="59">
        <v>48961.546977623359</v>
      </c>
      <c r="L574" s="59">
        <v>50609.887674859259</v>
      </c>
      <c r="M574" s="59">
        <v>48937.707293611456</v>
      </c>
      <c r="N574" s="59">
        <v>50617.126126443633</v>
      </c>
      <c r="O574" s="59">
        <v>50575.702475670805</v>
      </c>
      <c r="P574" s="59">
        <v>47286.774696857494</v>
      </c>
      <c r="Q574" s="59">
        <v>50573.583028398149</v>
      </c>
      <c r="S574" s="51" t="b">
        <f t="shared" si="166"/>
        <v>1</v>
      </c>
      <c r="U574" s="60">
        <v>2</v>
      </c>
      <c r="V574" s="51" t="str">
        <f t="shared" si="167"/>
        <v>Colstrip</v>
      </c>
      <c r="W574" s="60"/>
      <c r="Y574" s="60"/>
      <c r="AA574" s="60">
        <v>5</v>
      </c>
      <c r="AC574" s="54"/>
      <c r="AG574" s="62" t="str">
        <f t="shared" si="168"/>
        <v/>
      </c>
    </row>
    <row r="575" spans="1:33">
      <c r="C575" s="52" t="s">
        <v>455</v>
      </c>
      <c r="E575" s="59">
        <f t="shared" si="165"/>
        <v>0</v>
      </c>
      <c r="F575" s="59">
        <v>0</v>
      </c>
      <c r="G575" s="59">
        <v>0</v>
      </c>
      <c r="H575" s="59">
        <v>0</v>
      </c>
      <c r="I575" s="59">
        <v>0</v>
      </c>
      <c r="J575" s="59">
        <v>0</v>
      </c>
      <c r="K575" s="59">
        <v>0</v>
      </c>
      <c r="L575" s="59">
        <v>0</v>
      </c>
      <c r="M575" s="59">
        <v>0</v>
      </c>
      <c r="N575" s="59">
        <v>0</v>
      </c>
      <c r="O575" s="59">
        <v>0</v>
      </c>
      <c r="P575" s="59">
        <v>0</v>
      </c>
      <c r="Q575" s="59">
        <v>0</v>
      </c>
      <c r="S575" s="51" t="b">
        <f t="shared" si="166"/>
        <v>1</v>
      </c>
      <c r="U575" s="60" t="e">
        <v>#N/A</v>
      </c>
      <c r="V575" s="51" t="str">
        <f t="shared" si="167"/>
        <v>Craig</v>
      </c>
      <c r="W575" s="60"/>
      <c r="Y575" s="60"/>
      <c r="AA575" s="60">
        <v>6</v>
      </c>
      <c r="AC575" s="54"/>
      <c r="AG575" s="62" t="str">
        <f t="shared" si="168"/>
        <v/>
      </c>
    </row>
    <row r="576" spans="1:33">
      <c r="C576" s="52" t="s">
        <v>456</v>
      </c>
      <c r="E576" s="59">
        <f t="shared" si="165"/>
        <v>0</v>
      </c>
      <c r="F576" s="59">
        <v>0</v>
      </c>
      <c r="G576" s="59">
        <v>0</v>
      </c>
      <c r="H576" s="59">
        <v>0</v>
      </c>
      <c r="I576" s="59">
        <v>0</v>
      </c>
      <c r="J576" s="59">
        <v>0</v>
      </c>
      <c r="K576" s="59">
        <v>0</v>
      </c>
      <c r="L576" s="59">
        <v>0</v>
      </c>
      <c r="M576" s="59">
        <v>0</v>
      </c>
      <c r="N576" s="59">
        <v>0</v>
      </c>
      <c r="O576" s="59">
        <v>0</v>
      </c>
      <c r="P576" s="59">
        <v>0</v>
      </c>
      <c r="Q576" s="59">
        <v>0</v>
      </c>
      <c r="S576" s="51" t="b">
        <f t="shared" si="166"/>
        <v>1</v>
      </c>
      <c r="U576" s="60" t="e">
        <v>#N/A</v>
      </c>
      <c r="V576" s="51" t="str">
        <f t="shared" si="167"/>
        <v>Dave Johnston</v>
      </c>
      <c r="W576" s="60"/>
      <c r="Y576" s="60"/>
      <c r="AA576" s="60">
        <v>8</v>
      </c>
      <c r="AC576" s="54"/>
      <c r="AG576" s="62" t="str">
        <f t="shared" si="168"/>
        <v/>
      </c>
    </row>
    <row r="577" spans="1:33">
      <c r="C577" s="52" t="s">
        <v>457</v>
      </c>
      <c r="E577" s="59">
        <f t="shared" si="165"/>
        <v>0</v>
      </c>
      <c r="F577" s="59">
        <v>0</v>
      </c>
      <c r="G577" s="59">
        <v>0</v>
      </c>
      <c r="H577" s="59">
        <v>0</v>
      </c>
      <c r="I577" s="59">
        <v>0</v>
      </c>
      <c r="J577" s="59">
        <v>0</v>
      </c>
      <c r="K577" s="59">
        <v>0</v>
      </c>
      <c r="L577" s="59">
        <v>0</v>
      </c>
      <c r="M577" s="59">
        <v>0</v>
      </c>
      <c r="N577" s="59">
        <v>0</v>
      </c>
      <c r="O577" s="59">
        <v>0</v>
      </c>
      <c r="P577" s="59">
        <v>0</v>
      </c>
      <c r="Q577" s="59">
        <v>0</v>
      </c>
      <c r="S577" s="51" t="b">
        <f t="shared" si="166"/>
        <v>1</v>
      </c>
      <c r="U577" s="60" t="e">
        <v>#N/A</v>
      </c>
      <c r="V577" s="51" t="str">
        <f t="shared" si="167"/>
        <v>Hayden</v>
      </c>
      <c r="W577" s="60"/>
      <c r="Y577" s="60"/>
      <c r="AA577" s="60">
        <v>11</v>
      </c>
      <c r="AC577" s="54"/>
      <c r="AG577" s="62" t="str">
        <f t="shared" si="168"/>
        <v/>
      </c>
    </row>
    <row r="578" spans="1:33">
      <c r="C578" s="52" t="s">
        <v>458</v>
      </c>
      <c r="E578" s="59">
        <f t="shared" si="165"/>
        <v>0</v>
      </c>
      <c r="F578" s="59">
        <v>0</v>
      </c>
      <c r="G578" s="59">
        <v>0</v>
      </c>
      <c r="H578" s="59">
        <v>0</v>
      </c>
      <c r="I578" s="59">
        <v>0</v>
      </c>
      <c r="J578" s="59">
        <v>0</v>
      </c>
      <c r="K578" s="59">
        <v>0</v>
      </c>
      <c r="L578" s="59">
        <v>0</v>
      </c>
      <c r="M578" s="59">
        <v>0</v>
      </c>
      <c r="N578" s="59">
        <v>0</v>
      </c>
      <c r="O578" s="59">
        <v>0</v>
      </c>
      <c r="P578" s="59">
        <v>0</v>
      </c>
      <c r="Q578" s="59">
        <v>0</v>
      </c>
      <c r="S578" s="51" t="b">
        <f t="shared" si="166"/>
        <v>1</v>
      </c>
      <c r="U578" s="60" t="e">
        <v>#N/A</v>
      </c>
      <c r="V578" s="51" t="str">
        <f t="shared" si="167"/>
        <v>Hunter</v>
      </c>
      <c r="W578" s="60"/>
      <c r="Y578" s="60"/>
      <c r="AA578" s="60">
        <v>13</v>
      </c>
      <c r="AC578" s="54"/>
      <c r="AG578" s="62" t="str">
        <f t="shared" si="168"/>
        <v/>
      </c>
    </row>
    <row r="579" spans="1:33">
      <c r="C579" s="52" t="s">
        <v>459</v>
      </c>
      <c r="E579" s="59">
        <f t="shared" si="165"/>
        <v>0</v>
      </c>
      <c r="F579" s="59">
        <v>0</v>
      </c>
      <c r="G579" s="59">
        <v>0</v>
      </c>
      <c r="H579" s="59">
        <v>0</v>
      </c>
      <c r="I579" s="59">
        <v>0</v>
      </c>
      <c r="J579" s="59">
        <v>0</v>
      </c>
      <c r="K579" s="59">
        <v>0</v>
      </c>
      <c r="L579" s="59">
        <v>0</v>
      </c>
      <c r="M579" s="59">
        <v>0</v>
      </c>
      <c r="N579" s="59">
        <v>0</v>
      </c>
      <c r="O579" s="59">
        <v>0</v>
      </c>
      <c r="P579" s="59">
        <v>0</v>
      </c>
      <c r="Q579" s="59">
        <v>0</v>
      </c>
      <c r="S579" s="51" t="b">
        <f t="shared" si="166"/>
        <v>1</v>
      </c>
      <c r="U579" s="60" t="e">
        <v>#N/A</v>
      </c>
      <c r="V579" s="51" t="str">
        <f t="shared" si="167"/>
        <v>Huntington</v>
      </c>
      <c r="W579" s="60"/>
      <c r="Y579" s="60"/>
      <c r="AA579" s="60">
        <v>14</v>
      </c>
      <c r="AC579" s="54"/>
      <c r="AG579" s="62" t="str">
        <f t="shared" si="168"/>
        <v/>
      </c>
    </row>
    <row r="580" spans="1:33">
      <c r="C580" s="52" t="s">
        <v>119</v>
      </c>
      <c r="E580" s="59">
        <f t="shared" si="165"/>
        <v>10100245.996387195</v>
      </c>
      <c r="F580" s="59">
        <v>727048.6562133379</v>
      </c>
      <c r="G580" s="59">
        <v>663759.10850045318</v>
      </c>
      <c r="H580" s="59">
        <v>738817.43535400007</v>
      </c>
      <c r="I580" s="59">
        <v>944805.86372084066</v>
      </c>
      <c r="J580" s="59">
        <v>927832.22325559484</v>
      </c>
      <c r="K580" s="59">
        <v>890106.96823357674</v>
      </c>
      <c r="L580" s="59">
        <v>934590.51089366071</v>
      </c>
      <c r="M580" s="59">
        <v>891706.74674710841</v>
      </c>
      <c r="N580" s="59">
        <v>898321.07611424441</v>
      </c>
      <c r="O580" s="59">
        <v>863122.14031447319</v>
      </c>
      <c r="P580" s="59">
        <v>837004.68344738253</v>
      </c>
      <c r="Q580" s="59">
        <v>783130.58359252196</v>
      </c>
      <c r="S580" s="51" t="b">
        <f t="shared" si="166"/>
        <v>1</v>
      </c>
      <c r="U580" s="60">
        <v>4</v>
      </c>
      <c r="V580" s="51" t="str">
        <f t="shared" si="167"/>
        <v>Jim Bridger</v>
      </c>
      <c r="W580" s="60"/>
      <c r="Y580" s="60"/>
      <c r="AA580" s="60">
        <v>15</v>
      </c>
      <c r="AC580" s="54"/>
      <c r="AG580" s="62" t="str">
        <f t="shared" si="168"/>
        <v/>
      </c>
    </row>
    <row r="581" spans="1:33">
      <c r="C581" s="52" t="s">
        <v>460</v>
      </c>
      <c r="E581" s="59">
        <f t="shared" si="165"/>
        <v>0</v>
      </c>
      <c r="F581" s="59">
        <v>0</v>
      </c>
      <c r="G581" s="59">
        <v>0</v>
      </c>
      <c r="H581" s="59">
        <v>0</v>
      </c>
      <c r="I581" s="59">
        <v>0</v>
      </c>
      <c r="J581" s="59">
        <v>0</v>
      </c>
      <c r="K581" s="59">
        <v>0</v>
      </c>
      <c r="L581" s="59">
        <v>0</v>
      </c>
      <c r="M581" s="59">
        <v>0</v>
      </c>
      <c r="N581" s="59">
        <v>0</v>
      </c>
      <c r="O581" s="59">
        <v>0</v>
      </c>
      <c r="P581" s="59">
        <v>0</v>
      </c>
      <c r="Q581" s="59">
        <v>0</v>
      </c>
      <c r="S581" s="51" t="b">
        <f t="shared" si="166"/>
        <v>1</v>
      </c>
      <c r="U581" s="60" t="e">
        <v>#N/A</v>
      </c>
      <c r="V581" s="51" t="str">
        <f t="shared" si="167"/>
        <v>Naughton</v>
      </c>
      <c r="W581" s="60"/>
      <c r="Y581" s="60"/>
      <c r="AA581" s="60">
        <v>17</v>
      </c>
      <c r="AC581" s="54"/>
      <c r="AG581" s="62" t="str">
        <f t="shared" si="168"/>
        <v/>
      </c>
    </row>
    <row r="582" spans="1:33" hidden="1"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U582" s="60"/>
      <c r="W582" s="60"/>
      <c r="Y582" s="60"/>
      <c r="AA582" s="64"/>
      <c r="AC582" s="54"/>
      <c r="AG582" s="62" t="str">
        <f t="shared" si="168"/>
        <v>Hide Row</v>
      </c>
    </row>
    <row r="583" spans="1:33"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U583" s="61"/>
      <c r="W583" s="61"/>
      <c r="Y583" s="60"/>
      <c r="AA583" s="64"/>
      <c r="AC583" s="54"/>
      <c r="AG583" s="62"/>
    </row>
    <row r="584" spans="1:33" s="72" customFormat="1">
      <c r="A584" s="73"/>
      <c r="C584" s="52" t="s">
        <v>462</v>
      </c>
      <c r="E584" s="65">
        <f>SUM(F584:Q584)</f>
        <v>0</v>
      </c>
      <c r="F584" s="65">
        <v>0</v>
      </c>
      <c r="G584" s="65">
        <v>0</v>
      </c>
      <c r="H584" s="65">
        <v>0</v>
      </c>
      <c r="I584" s="65">
        <v>0</v>
      </c>
      <c r="J584" s="65">
        <v>0</v>
      </c>
      <c r="K584" s="65">
        <v>0</v>
      </c>
      <c r="L584" s="65">
        <v>0</v>
      </c>
      <c r="M584" s="65">
        <v>0</v>
      </c>
      <c r="N584" s="65">
        <v>0</v>
      </c>
      <c r="O584" s="65">
        <v>0</v>
      </c>
      <c r="P584" s="65">
        <v>0</v>
      </c>
      <c r="Q584" s="65">
        <v>0</v>
      </c>
      <c r="R584" s="53"/>
      <c r="S584" s="51" t="b">
        <f>C262=C584</f>
        <v>1</v>
      </c>
      <c r="T584" s="54"/>
      <c r="U584" s="60" t="e">
        <v>#N/A</v>
      </c>
      <c r="V584" s="51" t="str">
        <f>V262</f>
        <v>Wyodak</v>
      </c>
      <c r="W584" s="135"/>
      <c r="X584" s="51"/>
      <c r="Y584" s="135"/>
      <c r="AA584" s="60">
        <v>18</v>
      </c>
      <c r="AC584" s="54"/>
      <c r="AG584" s="62" t="str">
        <f t="shared" si="168"/>
        <v/>
      </c>
    </row>
    <row r="585" spans="1:33" s="72" customFormat="1">
      <c r="A585" s="73"/>
      <c r="C585" s="52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53"/>
      <c r="T585" s="54"/>
      <c r="U585" s="51"/>
      <c r="V585" s="51"/>
      <c r="W585" s="51"/>
      <c r="X585" s="51"/>
      <c r="Y585" s="51"/>
      <c r="Z585" s="51"/>
      <c r="AA585" s="51"/>
      <c r="AB585" s="51"/>
      <c r="AC585" s="54"/>
    </row>
    <row r="586" spans="1:33" ht="15.75">
      <c r="A586" s="56" t="str">
        <f>"Total "&amp;A571</f>
        <v>Total Coal Generation</v>
      </c>
      <c r="E586" s="66">
        <f>SUM(F586:Q586)</f>
        <v>10678859.295111569</v>
      </c>
      <c r="F586" s="66">
        <f t="shared" ref="F586:Q586" si="169">SUM(F572:F584)</f>
        <v>775996.99526400003</v>
      </c>
      <c r="G586" s="66">
        <f t="shared" si="169"/>
        <v>714040.8754227201</v>
      </c>
      <c r="H586" s="66">
        <f t="shared" si="169"/>
        <v>769465.91535400006</v>
      </c>
      <c r="I586" s="66">
        <f t="shared" si="169"/>
        <v>995368.39800016012</v>
      </c>
      <c r="J586" s="66">
        <f t="shared" si="169"/>
        <v>978442.07345425594</v>
      </c>
      <c r="K586" s="66">
        <f t="shared" si="169"/>
        <v>939068.51521120011</v>
      </c>
      <c r="L586" s="66">
        <f t="shared" si="169"/>
        <v>985200.39856851997</v>
      </c>
      <c r="M586" s="66">
        <f t="shared" si="169"/>
        <v>940644.45404071989</v>
      </c>
      <c r="N586" s="66">
        <f t="shared" si="169"/>
        <v>948938.20224068803</v>
      </c>
      <c r="O586" s="66">
        <f t="shared" si="169"/>
        <v>913697.84279014403</v>
      </c>
      <c r="P586" s="66">
        <f t="shared" si="169"/>
        <v>884291.45814424008</v>
      </c>
      <c r="Q586" s="66">
        <f t="shared" si="169"/>
        <v>833704.16662092006</v>
      </c>
      <c r="AA586" s="64"/>
      <c r="AC586" s="54"/>
    </row>
    <row r="587" spans="1:33"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AC587" s="54"/>
    </row>
    <row r="588" spans="1:33" ht="15.75">
      <c r="A588" s="56" t="s">
        <v>549</v>
      </c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U588" s="41" t="s">
        <v>547</v>
      </c>
      <c r="AA588" s="41" t="s">
        <v>548</v>
      </c>
      <c r="AC588" s="54"/>
    </row>
    <row r="589" spans="1:33">
      <c r="C589" s="52" t="s">
        <v>116</v>
      </c>
      <c r="E589" s="59">
        <f t="shared" ref="E589:E596" si="170">SUM(F589:Q589)</f>
        <v>1141217.5849204001</v>
      </c>
      <c r="F589" s="59">
        <v>6055.8161460000001</v>
      </c>
      <c r="G589" s="59">
        <v>-788.99994719999995</v>
      </c>
      <c r="H589" s="59">
        <v>-750.99995999999999</v>
      </c>
      <c r="I589" s="59">
        <v>198522.57115040001</v>
      </c>
      <c r="J589" s="59">
        <v>247984.5931808</v>
      </c>
      <c r="K589" s="59">
        <v>165514.3104092</v>
      </c>
      <c r="L589" s="59">
        <v>124573.68251679999</v>
      </c>
      <c r="M589" s="59">
        <v>54456.463715999998</v>
      </c>
      <c r="N589" s="59">
        <v>110889.68700359999</v>
      </c>
      <c r="O589" s="59">
        <v>114023.7400512</v>
      </c>
      <c r="P589" s="59">
        <v>100035.76441039999</v>
      </c>
      <c r="Q589" s="59">
        <v>20700.956243199998</v>
      </c>
      <c r="R589" s="54"/>
      <c r="S589" s="51" t="b">
        <f t="shared" ref="S589:S598" si="171">C267=C589</f>
        <v>1</v>
      </c>
      <c r="U589" s="60">
        <v>1</v>
      </c>
      <c r="V589" s="51" t="str">
        <f>V267</f>
        <v>Chehalis</v>
      </c>
      <c r="W589" s="60"/>
      <c r="Y589" s="60"/>
      <c r="AA589" s="60">
        <v>3</v>
      </c>
      <c r="AC589" s="54"/>
      <c r="AG589" s="62" t="str">
        <f t="shared" ref="AG589:AG598" si="172">IF(OR(ISNUMBER(U589),ISNUMBER(W589),ISNUMBER(Y589),ISNUMBER(AA589),ISNUMBER(AC589)),"","Hide Row")</f>
        <v/>
      </c>
    </row>
    <row r="590" spans="1:33">
      <c r="C590" s="52" t="s">
        <v>466</v>
      </c>
      <c r="E590" s="59">
        <f t="shared" si="170"/>
        <v>0</v>
      </c>
      <c r="F590" s="59">
        <v>0</v>
      </c>
      <c r="G590" s="59">
        <v>0</v>
      </c>
      <c r="H590" s="59">
        <v>0</v>
      </c>
      <c r="I590" s="59">
        <v>0</v>
      </c>
      <c r="J590" s="59">
        <v>0</v>
      </c>
      <c r="K590" s="59">
        <v>0</v>
      </c>
      <c r="L590" s="59">
        <v>0</v>
      </c>
      <c r="M590" s="59">
        <v>0</v>
      </c>
      <c r="N590" s="59">
        <v>0</v>
      </c>
      <c r="O590" s="59">
        <v>0</v>
      </c>
      <c r="P590" s="59">
        <v>0</v>
      </c>
      <c r="Q590" s="59">
        <v>0</v>
      </c>
      <c r="R590" s="54"/>
      <c r="S590" s="51" t="b">
        <f t="shared" si="171"/>
        <v>1</v>
      </c>
      <c r="U590" s="60" t="e">
        <v>#N/A</v>
      </c>
      <c r="V590" s="51" t="str">
        <f>V268</f>
        <v>Currant Creek</v>
      </c>
      <c r="W590" s="60"/>
      <c r="Y590" s="60"/>
      <c r="AA590" s="60">
        <v>7</v>
      </c>
      <c r="AC590" s="54"/>
      <c r="AG590" s="62" t="str">
        <f t="shared" si="172"/>
        <v/>
      </c>
    </row>
    <row r="591" spans="1:33">
      <c r="C591" s="52" t="s">
        <v>467</v>
      </c>
      <c r="E591" s="59">
        <f t="shared" si="170"/>
        <v>0</v>
      </c>
      <c r="F591" s="59">
        <v>0</v>
      </c>
      <c r="G591" s="59">
        <v>0</v>
      </c>
      <c r="H591" s="59">
        <v>0</v>
      </c>
      <c r="I591" s="59">
        <v>0</v>
      </c>
      <c r="J591" s="59">
        <v>0</v>
      </c>
      <c r="K591" s="59">
        <v>0</v>
      </c>
      <c r="L591" s="59">
        <v>0</v>
      </c>
      <c r="M591" s="59">
        <v>0</v>
      </c>
      <c r="N591" s="59">
        <v>0</v>
      </c>
      <c r="O591" s="59">
        <v>0</v>
      </c>
      <c r="P591" s="59">
        <v>0</v>
      </c>
      <c r="Q591" s="59">
        <v>0</v>
      </c>
      <c r="S591" s="51" t="b">
        <f t="shared" si="171"/>
        <v>1</v>
      </c>
      <c r="U591" s="60" t="e">
        <v>#N/A</v>
      </c>
      <c r="V591" s="51" t="str">
        <f>V269</f>
        <v>Gadsby</v>
      </c>
      <c r="W591" s="60"/>
      <c r="Y591" s="60"/>
      <c r="AA591" s="60">
        <v>9</v>
      </c>
      <c r="AC591" s="54"/>
      <c r="AG591" s="62" t="str">
        <f t="shared" si="172"/>
        <v/>
      </c>
    </row>
    <row r="592" spans="1:33">
      <c r="C592" s="52" t="s">
        <v>469</v>
      </c>
      <c r="E592" s="59">
        <f t="shared" si="170"/>
        <v>0</v>
      </c>
      <c r="F592" s="59">
        <v>0</v>
      </c>
      <c r="G592" s="59">
        <v>0</v>
      </c>
      <c r="H592" s="59">
        <v>0</v>
      </c>
      <c r="I592" s="59">
        <v>0</v>
      </c>
      <c r="J592" s="59">
        <v>0</v>
      </c>
      <c r="K592" s="59">
        <v>0</v>
      </c>
      <c r="L592" s="59">
        <v>0</v>
      </c>
      <c r="M592" s="59">
        <v>0</v>
      </c>
      <c r="N592" s="59">
        <v>0</v>
      </c>
      <c r="O592" s="59">
        <v>0</v>
      </c>
      <c r="P592" s="59">
        <v>0</v>
      </c>
      <c r="Q592" s="59">
        <v>0</v>
      </c>
      <c r="S592" s="51" t="b">
        <f t="shared" si="171"/>
        <v>1</v>
      </c>
      <c r="U592" s="60" t="e">
        <v>#N/A</v>
      </c>
      <c r="V592" s="51" t="str">
        <f>V270</f>
        <v>Gadsby CT</v>
      </c>
      <c r="W592" s="60"/>
      <c r="Y592" s="60"/>
      <c r="AA592" s="60">
        <v>10</v>
      </c>
      <c r="AC592" s="54"/>
      <c r="AG592" s="62" t="str">
        <f t="shared" si="172"/>
        <v/>
      </c>
    </row>
    <row r="593" spans="1:33" s="64" customFormat="1">
      <c r="A593" s="71"/>
      <c r="C593" s="52" t="s">
        <v>470</v>
      </c>
      <c r="E593" s="59">
        <f t="shared" si="170"/>
        <v>1225255.4639699999</v>
      </c>
      <c r="F593" s="59">
        <v>90246.187444999989</v>
      </c>
      <c r="G593" s="59">
        <v>26063.441180000002</v>
      </c>
      <c r="H593" s="59">
        <v>2179.11</v>
      </c>
      <c r="I593" s="59">
        <v>126526.858095</v>
      </c>
      <c r="J593" s="59">
        <v>137762.64601500001</v>
      </c>
      <c r="K593" s="59">
        <v>112628.41706499999</v>
      </c>
      <c r="L593" s="59">
        <v>142550.29235500001</v>
      </c>
      <c r="M593" s="59">
        <v>123678.466935</v>
      </c>
      <c r="N593" s="59">
        <v>127279.72877</v>
      </c>
      <c r="O593" s="59">
        <v>123453.83079499999</v>
      </c>
      <c r="P593" s="59">
        <v>107871.707375</v>
      </c>
      <c r="Q593" s="59">
        <v>105014.77794</v>
      </c>
      <c r="R593" s="53"/>
      <c r="S593" s="51" t="b">
        <f t="shared" si="171"/>
        <v>1</v>
      </c>
      <c r="T593" s="54"/>
      <c r="U593" s="60">
        <v>3</v>
      </c>
      <c r="V593" s="64" t="s">
        <v>471</v>
      </c>
      <c r="W593" s="60" t="e">
        <v>#N/A</v>
      </c>
      <c r="X593" s="51" t="s">
        <v>195</v>
      </c>
      <c r="Y593" s="61" t="e">
        <v>#N/A</v>
      </c>
      <c r="Z593" s="51" t="s">
        <v>195</v>
      </c>
      <c r="AA593" s="60">
        <v>12</v>
      </c>
      <c r="AC593" s="54"/>
      <c r="AD593" s="51"/>
      <c r="AE593" s="51"/>
      <c r="AF593" s="51"/>
      <c r="AG593" s="62" t="str">
        <f t="shared" si="172"/>
        <v/>
      </c>
    </row>
    <row r="594" spans="1:33">
      <c r="C594" s="52" t="s">
        <v>472</v>
      </c>
      <c r="E594" s="59">
        <f t="shared" si="170"/>
        <v>0</v>
      </c>
      <c r="F594" s="59">
        <v>0</v>
      </c>
      <c r="G594" s="59">
        <v>0</v>
      </c>
      <c r="H594" s="59">
        <v>0</v>
      </c>
      <c r="I594" s="59">
        <v>0</v>
      </c>
      <c r="J594" s="59">
        <v>0</v>
      </c>
      <c r="K594" s="59">
        <v>0</v>
      </c>
      <c r="L594" s="59">
        <v>0</v>
      </c>
      <c r="M594" s="59">
        <v>0</v>
      </c>
      <c r="N594" s="59">
        <v>0</v>
      </c>
      <c r="O594" s="59">
        <v>0</v>
      </c>
      <c r="P594" s="59">
        <v>0</v>
      </c>
      <c r="Q594" s="59">
        <v>0</v>
      </c>
      <c r="S594" s="51" t="b">
        <f t="shared" si="171"/>
        <v>1</v>
      </c>
      <c r="U594" s="60" t="e">
        <v>#N/A</v>
      </c>
      <c r="V594" s="51" t="str">
        <f>V272</f>
        <v>Lake Side 1</v>
      </c>
      <c r="W594" s="60"/>
      <c r="Y594" s="60"/>
      <c r="AA594" s="60">
        <v>16</v>
      </c>
      <c r="AC594" s="54"/>
      <c r="AG594" s="62" t="str">
        <f t="shared" si="172"/>
        <v/>
      </c>
    </row>
    <row r="595" spans="1:33">
      <c r="C595" s="52" t="s">
        <v>644</v>
      </c>
      <c r="E595" s="59">
        <f t="shared" ref="E595" si="173">SUM(F595:Q595)</f>
        <v>0</v>
      </c>
      <c r="F595" s="59">
        <v>0</v>
      </c>
      <c r="G595" s="59">
        <v>0</v>
      </c>
      <c r="H595" s="59">
        <v>0</v>
      </c>
      <c r="I595" s="59">
        <v>0</v>
      </c>
      <c r="J595" s="59">
        <v>0</v>
      </c>
      <c r="K595" s="59">
        <v>0</v>
      </c>
      <c r="L595" s="59">
        <v>0</v>
      </c>
      <c r="M595" s="59">
        <v>0</v>
      </c>
      <c r="N595" s="59">
        <v>0</v>
      </c>
      <c r="O595" s="59">
        <v>0</v>
      </c>
      <c r="P595" s="59">
        <v>0</v>
      </c>
      <c r="Q595" s="59">
        <v>0</v>
      </c>
      <c r="S595" s="51" t="b">
        <f t="shared" si="171"/>
        <v>1</v>
      </c>
      <c r="U595" s="60" t="e">
        <v>#N/A</v>
      </c>
      <c r="V595" s="51" t="str">
        <f>V273</f>
        <v>Lake Side II</v>
      </c>
      <c r="W595" s="60"/>
      <c r="Y595" s="60"/>
      <c r="AA595" s="60" t="e">
        <v>#N/A</v>
      </c>
      <c r="AC595" s="54"/>
      <c r="AG595" s="62" t="str">
        <f t="shared" si="172"/>
        <v>Hide Row</v>
      </c>
    </row>
    <row r="596" spans="1:33">
      <c r="C596" s="52" t="s">
        <v>473</v>
      </c>
      <c r="E596" s="59">
        <f t="shared" si="170"/>
        <v>0</v>
      </c>
      <c r="F596" s="59">
        <v>0</v>
      </c>
      <c r="G596" s="59">
        <v>0</v>
      </c>
      <c r="H596" s="59">
        <v>0</v>
      </c>
      <c r="I596" s="59">
        <v>0</v>
      </c>
      <c r="J596" s="59">
        <v>0</v>
      </c>
      <c r="K596" s="59">
        <v>0</v>
      </c>
      <c r="L596" s="59">
        <v>0</v>
      </c>
      <c r="M596" s="59">
        <v>0</v>
      </c>
      <c r="N596" s="59">
        <v>0</v>
      </c>
      <c r="O596" s="59">
        <v>0</v>
      </c>
      <c r="P596" s="59">
        <v>0</v>
      </c>
      <c r="Q596" s="59">
        <v>0</v>
      </c>
      <c r="S596" s="51" t="b">
        <f t="shared" si="171"/>
        <v>1</v>
      </c>
      <c r="U596" s="60" t="e">
        <v>#N/A</v>
      </c>
      <c r="V596" s="51" t="str">
        <f>V274</f>
        <v>Little Mountain</v>
      </c>
      <c r="W596" s="60"/>
      <c r="Y596" s="60"/>
      <c r="AA596" s="60" t="e">
        <v>#N/A</v>
      </c>
      <c r="AC596" s="54"/>
      <c r="AG596" s="62" t="str">
        <f t="shared" si="172"/>
        <v>Hide Row</v>
      </c>
    </row>
    <row r="597" spans="1:33">
      <c r="C597" s="52" t="s">
        <v>474</v>
      </c>
      <c r="E597" s="59">
        <f t="shared" ref="E597" si="174">SUM(F597:Q597)</f>
        <v>0</v>
      </c>
      <c r="F597" s="59">
        <v>0</v>
      </c>
      <c r="G597" s="59">
        <v>0</v>
      </c>
      <c r="H597" s="59">
        <v>0</v>
      </c>
      <c r="I597" s="59">
        <v>0</v>
      </c>
      <c r="J597" s="59">
        <v>0</v>
      </c>
      <c r="K597" s="59">
        <v>0</v>
      </c>
      <c r="L597" s="59">
        <v>0</v>
      </c>
      <c r="M597" s="59">
        <v>0</v>
      </c>
      <c r="N597" s="59">
        <v>0</v>
      </c>
      <c r="O597" s="59">
        <v>0</v>
      </c>
      <c r="P597" s="59">
        <v>0</v>
      </c>
      <c r="Q597" s="59">
        <v>0</v>
      </c>
      <c r="S597" s="51" t="b">
        <f t="shared" si="171"/>
        <v>1</v>
      </c>
      <c r="U597" s="60" t="e">
        <v>#N/A</v>
      </c>
      <c r="V597" s="51" t="str">
        <f>V275</f>
        <v>Naughton - Gas</v>
      </c>
      <c r="W597" s="60"/>
      <c r="Y597" s="60"/>
      <c r="AA597" s="60" t="e">
        <v>#N/A</v>
      </c>
      <c r="AC597" s="54"/>
      <c r="AG597" s="62" t="str">
        <f t="shared" si="172"/>
        <v>Hide Row</v>
      </c>
    </row>
    <row r="598" spans="1:33" s="72" customFormat="1" hidden="1">
      <c r="A598" s="73"/>
      <c r="C598" s="52" t="s">
        <v>475</v>
      </c>
      <c r="E598" s="65">
        <f>SUM(F598:Q598)</f>
        <v>0</v>
      </c>
      <c r="F598" s="65">
        <v>0</v>
      </c>
      <c r="G598" s="65">
        <v>0</v>
      </c>
      <c r="H598" s="65">
        <v>0</v>
      </c>
      <c r="I598" s="65">
        <v>0</v>
      </c>
      <c r="J598" s="65">
        <v>0</v>
      </c>
      <c r="K598" s="65">
        <v>0</v>
      </c>
      <c r="L598" s="65">
        <v>0</v>
      </c>
      <c r="M598" s="65">
        <v>0</v>
      </c>
      <c r="N598" s="65">
        <v>0</v>
      </c>
      <c r="O598" s="65">
        <v>0</v>
      </c>
      <c r="P598" s="65">
        <v>0</v>
      </c>
      <c r="Q598" s="65">
        <v>0</v>
      </c>
      <c r="R598" s="53"/>
      <c r="S598" s="51" t="b">
        <f t="shared" si="171"/>
        <v>1</v>
      </c>
      <c r="T598" s="54"/>
      <c r="U598" s="60" t="e">
        <v>#N/A</v>
      </c>
      <c r="V598" s="51">
        <f>V276</f>
        <v>0</v>
      </c>
      <c r="W598" s="135"/>
      <c r="X598" s="51"/>
      <c r="Y598" s="135"/>
      <c r="AA598" s="51"/>
      <c r="AC598" s="54"/>
      <c r="AG598" s="62" t="str">
        <f t="shared" si="172"/>
        <v>Hide Row</v>
      </c>
    </row>
    <row r="599" spans="1:33" s="72" customFormat="1">
      <c r="A599" s="73"/>
      <c r="C599" s="52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53"/>
      <c r="T599" s="54"/>
      <c r="U599" s="51"/>
      <c r="V599" s="51"/>
      <c r="W599" s="51"/>
      <c r="X599" s="51"/>
      <c r="Y599" s="51"/>
      <c r="Z599" s="51"/>
      <c r="AA599" s="51"/>
      <c r="AB599" s="51"/>
      <c r="AC599" s="54"/>
    </row>
    <row r="600" spans="1:33" ht="15.75">
      <c r="A600" s="56" t="str">
        <f>"Total "&amp;A588</f>
        <v>Total Gas Generation</v>
      </c>
      <c r="E600" s="66">
        <f>SUM(F600:Q600)</f>
        <v>2366473.0488904002</v>
      </c>
      <c r="F600" s="66">
        <f t="shared" ref="F600:Q600" si="175">SUM(F589:F598)</f>
        <v>96302.003590999986</v>
      </c>
      <c r="G600" s="66">
        <f t="shared" si="175"/>
        <v>25274.441232800003</v>
      </c>
      <c r="H600" s="66">
        <f t="shared" si="175"/>
        <v>1428.11004</v>
      </c>
      <c r="I600" s="66">
        <f t="shared" si="175"/>
        <v>325049.42924540001</v>
      </c>
      <c r="J600" s="66">
        <f t="shared" si="175"/>
        <v>385747.23919580004</v>
      </c>
      <c r="K600" s="66">
        <f t="shared" si="175"/>
        <v>278142.72747419996</v>
      </c>
      <c r="L600" s="66">
        <f t="shared" si="175"/>
        <v>267123.97487179999</v>
      </c>
      <c r="M600" s="66">
        <f t="shared" si="175"/>
        <v>178134.930651</v>
      </c>
      <c r="N600" s="66">
        <f t="shared" si="175"/>
        <v>238169.41577359999</v>
      </c>
      <c r="O600" s="66">
        <f t="shared" si="175"/>
        <v>237477.57084619999</v>
      </c>
      <c r="P600" s="66">
        <f t="shared" si="175"/>
        <v>207907.4717854</v>
      </c>
      <c r="Q600" s="66">
        <f t="shared" si="175"/>
        <v>125715.73418319999</v>
      </c>
      <c r="AC600" s="54"/>
    </row>
    <row r="601" spans="1:33"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U601" s="64"/>
      <c r="V601" s="64"/>
      <c r="W601" s="64"/>
      <c r="X601" s="64"/>
      <c r="Y601" s="64"/>
      <c r="Z601" s="64"/>
      <c r="AA601" s="64"/>
      <c r="AB601" s="64"/>
      <c r="AC601" s="54"/>
      <c r="AD601" s="64"/>
      <c r="AE601" s="64"/>
      <c r="AF601" s="64"/>
    </row>
    <row r="602" spans="1:33" s="64" customFormat="1" ht="15.75">
      <c r="A602" s="103" t="s">
        <v>550</v>
      </c>
      <c r="C602" s="58"/>
      <c r="E602" s="66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53"/>
      <c r="S602" s="86"/>
      <c r="T602" s="54"/>
      <c r="U602" s="41" t="s">
        <v>551</v>
      </c>
      <c r="V602" s="51"/>
      <c r="W602" s="51"/>
      <c r="X602" s="51"/>
      <c r="Y602" s="51"/>
      <c r="Z602" s="51"/>
      <c r="AA602" s="51"/>
      <c r="AB602" s="51"/>
      <c r="AC602" s="54"/>
      <c r="AD602" s="51"/>
      <c r="AE602" s="51"/>
      <c r="AF602" s="51"/>
      <c r="AG602" s="51"/>
    </row>
    <row r="603" spans="1:33" s="64" customFormat="1">
      <c r="A603" s="71"/>
      <c r="C603" s="58" t="s">
        <v>552</v>
      </c>
      <c r="E603" s="59">
        <f>SUM(F603:Q603)</f>
        <v>3634408.2050817427</v>
      </c>
      <c r="F603" s="59">
        <v>301125.61216151004</v>
      </c>
      <c r="G603" s="59">
        <v>362082.47558883601</v>
      </c>
      <c r="H603" s="59">
        <v>310610.19170723297</v>
      </c>
      <c r="I603" s="59">
        <v>187314.23475694997</v>
      </c>
      <c r="J603" s="59">
        <v>165844.734827971</v>
      </c>
      <c r="K603" s="59">
        <v>214165.65322050708</v>
      </c>
      <c r="L603" s="59">
        <v>119535.14026282597</v>
      </c>
      <c r="M603" s="59">
        <v>291215.93995531014</v>
      </c>
      <c r="N603" s="59">
        <v>410733.99039857596</v>
      </c>
      <c r="O603" s="59">
        <v>481772.07396544801</v>
      </c>
      <c r="P603" s="59">
        <v>364351.03506431606</v>
      </c>
      <c r="Q603" s="59">
        <v>425657.12317225989</v>
      </c>
      <c r="R603" s="53"/>
      <c r="S603" s="51"/>
      <c r="T603" s="54"/>
      <c r="U603" s="60">
        <v>25</v>
      </c>
      <c r="V603" s="51" t="s">
        <v>543</v>
      </c>
      <c r="W603" s="61">
        <v>10</v>
      </c>
      <c r="X603" s="51" t="s">
        <v>145</v>
      </c>
      <c r="Y603" s="61">
        <v>11</v>
      </c>
      <c r="Z603" s="51" t="s">
        <v>146</v>
      </c>
      <c r="AA603" s="51"/>
      <c r="AB603" s="51"/>
      <c r="AC603" s="54"/>
      <c r="AD603" s="51"/>
      <c r="AE603" s="51"/>
      <c r="AF603" s="51"/>
      <c r="AG603" s="62" t="str">
        <f>IF(OR(ISNUMBER(U603),ISNUMBER(W603),ISNUMBER(Y603),ISNUMBER(AA603),ISNUMBER(AC603)),"","Hide Row")</f>
        <v/>
      </c>
    </row>
    <row r="604" spans="1:33" s="137" customFormat="1">
      <c r="A604" s="136"/>
      <c r="C604" s="104" t="s">
        <v>553</v>
      </c>
      <c r="E604" s="65">
        <f>SUM(F604:Q604)</f>
        <v>0</v>
      </c>
      <c r="F604" s="65">
        <v>0</v>
      </c>
      <c r="G604" s="65">
        <v>0</v>
      </c>
      <c r="H604" s="65">
        <v>0</v>
      </c>
      <c r="I604" s="65">
        <v>0</v>
      </c>
      <c r="J604" s="65">
        <v>0</v>
      </c>
      <c r="K604" s="65">
        <v>0</v>
      </c>
      <c r="L604" s="65">
        <v>0</v>
      </c>
      <c r="M604" s="65">
        <v>0</v>
      </c>
      <c r="N604" s="65">
        <v>0</v>
      </c>
      <c r="O604" s="65">
        <v>0</v>
      </c>
      <c r="P604" s="65">
        <v>0</v>
      </c>
      <c r="Q604" s="65">
        <v>0</v>
      </c>
      <c r="R604" s="53"/>
      <c r="S604" s="51"/>
      <c r="T604" s="54"/>
      <c r="U604" s="60" t="e">
        <v>#N/A</v>
      </c>
      <c r="V604" s="51" t="s">
        <v>554</v>
      </c>
      <c r="W604" s="60" t="e">
        <v>#N/A</v>
      </c>
      <c r="X604" s="51" t="s">
        <v>555</v>
      </c>
      <c r="Y604" s="60" t="e">
        <v>#N/A</v>
      </c>
      <c r="Z604" s="51" t="s">
        <v>556</v>
      </c>
      <c r="AA604" s="60" t="e">
        <v>#N/A</v>
      </c>
      <c r="AB604" s="51" t="s">
        <v>557</v>
      </c>
      <c r="AC604" s="60" t="e">
        <v>#N/A</v>
      </c>
      <c r="AD604" s="51" t="s">
        <v>558</v>
      </c>
      <c r="AE604" s="60" t="e">
        <v>#N/A</v>
      </c>
      <c r="AF604" s="51" t="s">
        <v>559</v>
      </c>
      <c r="AG604" s="62" t="str">
        <f>IF(OR(ISNUMBER(U604),ISNUMBER(W604),ISNUMBER(Y604),ISNUMBER(AA604),ISNUMBER(AC604)),"","Hide Row")</f>
        <v>Hide Row</v>
      </c>
    </row>
    <row r="605" spans="1:33" s="137" customFormat="1">
      <c r="A605" s="136"/>
      <c r="C605" s="104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53"/>
      <c r="T605" s="54"/>
      <c r="U605" s="51"/>
      <c r="V605" s="51"/>
      <c r="W605" s="51"/>
      <c r="X605" s="51"/>
      <c r="Y605" s="51"/>
      <c r="Z605" s="63"/>
      <c r="AA605" s="51"/>
      <c r="AB605" s="51"/>
      <c r="AC605" s="54"/>
      <c r="AD605" s="51"/>
      <c r="AE605" s="51"/>
      <c r="AF605" s="51"/>
    </row>
    <row r="606" spans="1:33" s="64" customFormat="1" ht="15.75">
      <c r="A606" s="103" t="str">
        <f>"Total "&amp;A602</f>
        <v>Total Hydro Generation</v>
      </c>
      <c r="C606" s="58"/>
      <c r="E606" s="66">
        <f>SUM(F606:Q606)</f>
        <v>3634408.2050817427</v>
      </c>
      <c r="F606" s="66">
        <f t="shared" ref="F606:Q606" si="176">SUM(F603:F604)</f>
        <v>301125.61216151004</v>
      </c>
      <c r="G606" s="66">
        <f t="shared" si="176"/>
        <v>362082.47558883601</v>
      </c>
      <c r="H606" s="66">
        <f t="shared" si="176"/>
        <v>310610.19170723297</v>
      </c>
      <c r="I606" s="66">
        <f t="shared" si="176"/>
        <v>187314.23475694997</v>
      </c>
      <c r="J606" s="66">
        <f t="shared" si="176"/>
        <v>165844.734827971</v>
      </c>
      <c r="K606" s="66">
        <f t="shared" si="176"/>
        <v>214165.65322050708</v>
      </c>
      <c r="L606" s="66">
        <f t="shared" si="176"/>
        <v>119535.14026282597</v>
      </c>
      <c r="M606" s="66">
        <f t="shared" si="176"/>
        <v>291215.93995531014</v>
      </c>
      <c r="N606" s="66">
        <f t="shared" si="176"/>
        <v>410733.99039857596</v>
      </c>
      <c r="O606" s="66">
        <f t="shared" si="176"/>
        <v>481772.07396544801</v>
      </c>
      <c r="P606" s="66">
        <f t="shared" si="176"/>
        <v>364351.03506431606</v>
      </c>
      <c r="Q606" s="66">
        <f t="shared" si="176"/>
        <v>425657.12317225989</v>
      </c>
      <c r="R606" s="53"/>
      <c r="T606" s="54"/>
      <c r="U606" s="51"/>
      <c r="V606" s="51"/>
      <c r="W606" s="51"/>
      <c r="X606" s="51"/>
      <c r="Y606" s="51"/>
      <c r="Z606" s="51"/>
      <c r="AA606" s="51"/>
      <c r="AB606" s="51"/>
      <c r="AC606" s="54"/>
      <c r="AD606" s="51"/>
      <c r="AE606" s="51"/>
      <c r="AF606" s="51"/>
    </row>
    <row r="607" spans="1:33" s="64" customFormat="1">
      <c r="A607" s="71"/>
      <c r="C607" s="58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53"/>
      <c r="T607" s="54"/>
      <c r="U607" s="51"/>
      <c r="V607" s="51"/>
      <c r="W607" s="51"/>
      <c r="X607" s="51"/>
      <c r="Y607" s="51"/>
      <c r="Z607" s="51"/>
      <c r="AA607" s="51"/>
      <c r="AB607" s="51"/>
      <c r="AC607" s="54"/>
      <c r="AD607" s="51"/>
      <c r="AE607" s="51"/>
      <c r="AF607" s="51"/>
    </row>
    <row r="608" spans="1:33" s="64" customFormat="1" ht="15.75">
      <c r="A608" s="103" t="s">
        <v>493</v>
      </c>
      <c r="C608" s="58"/>
      <c r="E608" s="109"/>
      <c r="F608" s="138"/>
      <c r="G608" s="138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53"/>
      <c r="S608" s="86"/>
      <c r="T608" s="54"/>
      <c r="U608" s="41" t="s">
        <v>551</v>
      </c>
      <c r="V608" s="51"/>
      <c r="W608" s="51"/>
      <c r="X608" s="51"/>
      <c r="Y608" s="51"/>
      <c r="Z608" s="51"/>
      <c r="AA608" s="41" t="s">
        <v>548</v>
      </c>
      <c r="AB608" s="51"/>
      <c r="AC608" s="54"/>
      <c r="AD608" s="51"/>
      <c r="AE608" s="51"/>
      <c r="AF608" s="51"/>
    </row>
    <row r="609" spans="2:33">
      <c r="C609" s="52" t="s">
        <v>494</v>
      </c>
      <c r="E609" s="59">
        <f>SUM(F609:Q609)</f>
        <v>0</v>
      </c>
      <c r="F609" s="59">
        <v>0</v>
      </c>
      <c r="G609" s="59">
        <v>0</v>
      </c>
      <c r="H609" s="59">
        <v>0</v>
      </c>
      <c r="I609" s="59">
        <v>0</v>
      </c>
      <c r="J609" s="59">
        <v>0</v>
      </c>
      <c r="K609" s="59">
        <v>0</v>
      </c>
      <c r="L609" s="59">
        <v>0</v>
      </c>
      <c r="M609" s="59">
        <v>0</v>
      </c>
      <c r="N609" s="59">
        <v>0</v>
      </c>
      <c r="O609" s="59">
        <v>0</v>
      </c>
      <c r="P609" s="59">
        <v>0</v>
      </c>
      <c r="Q609" s="59">
        <v>0</v>
      </c>
      <c r="S609" s="51" t="b">
        <f>C291=C609</f>
        <v>1</v>
      </c>
      <c r="U609" s="60" t="e">
        <v>#N/A</v>
      </c>
      <c r="V609" s="51" t="str">
        <f>V291</f>
        <v>Blundell</v>
      </c>
      <c r="W609" s="60"/>
      <c r="Y609" s="60"/>
      <c r="Z609" s="63" t="s">
        <v>560</v>
      </c>
      <c r="AA609" s="60">
        <v>1</v>
      </c>
      <c r="AC609" s="54"/>
      <c r="AG609" s="62" t="str">
        <f>IF(OR(ISNUMBER(U609),ISNUMBER(W609),ISNUMBER(Y609),ISNUMBER(AA609),ISNUMBER(AC609)),"","Hide Row")</f>
        <v/>
      </c>
    </row>
    <row r="610" spans="2:33">
      <c r="C610" s="52" t="s">
        <v>561</v>
      </c>
      <c r="E610" s="65">
        <f>SUM(F610:Q610)</f>
        <v>0</v>
      </c>
      <c r="F610" s="65">
        <v>0</v>
      </c>
      <c r="G610" s="65">
        <v>0</v>
      </c>
      <c r="H610" s="65">
        <v>0</v>
      </c>
      <c r="I610" s="65">
        <v>0</v>
      </c>
      <c r="J610" s="65">
        <v>0</v>
      </c>
      <c r="K610" s="65">
        <v>0</v>
      </c>
      <c r="L610" s="65">
        <v>0</v>
      </c>
      <c r="M610" s="65">
        <v>0</v>
      </c>
      <c r="N610" s="65">
        <v>0</v>
      </c>
      <c r="O610" s="65">
        <v>0</v>
      </c>
      <c r="P610" s="65">
        <v>0</v>
      </c>
      <c r="Q610" s="65">
        <v>0</v>
      </c>
      <c r="U610" s="60" t="e">
        <v>#N/A</v>
      </c>
      <c r="V610" s="51" t="str">
        <f>V609</f>
        <v>Blundell</v>
      </c>
      <c r="W610" s="60"/>
      <c r="Y610" s="60"/>
      <c r="Z610" s="63" t="s">
        <v>560</v>
      </c>
      <c r="AA610" s="139">
        <f>AA609</f>
        <v>1</v>
      </c>
      <c r="AC610" s="54"/>
      <c r="AG610" s="62" t="str">
        <f t="shared" ref="AG610:AG630" si="177">IF(OR(ISNUMBER(U610),ISNUMBER(W610),ISNUMBER(Y610),ISNUMBER(AA610),ISNUMBER(AC610)),"","Hide Row")</f>
        <v/>
      </c>
    </row>
    <row r="611" spans="2:33"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U611" s="60"/>
      <c r="W611" s="60"/>
      <c r="Y611" s="60"/>
      <c r="Z611" s="63"/>
      <c r="AC611" s="54"/>
      <c r="AG611" s="64"/>
    </row>
    <row r="612" spans="2:33">
      <c r="B612" s="41" t="s">
        <v>562</v>
      </c>
      <c r="E612" s="59">
        <f t="shared" ref="E612:Q612" si="178">E609+E610</f>
        <v>0</v>
      </c>
      <c r="F612" s="59">
        <f t="shared" si="178"/>
        <v>0</v>
      </c>
      <c r="G612" s="59">
        <f t="shared" si="178"/>
        <v>0</v>
      </c>
      <c r="H612" s="59">
        <f t="shared" si="178"/>
        <v>0</v>
      </c>
      <c r="I612" s="59">
        <f t="shared" si="178"/>
        <v>0</v>
      </c>
      <c r="J612" s="59">
        <f t="shared" si="178"/>
        <v>0</v>
      </c>
      <c r="K612" s="59">
        <f t="shared" si="178"/>
        <v>0</v>
      </c>
      <c r="L612" s="59">
        <f t="shared" si="178"/>
        <v>0</v>
      </c>
      <c r="M612" s="59">
        <f t="shared" si="178"/>
        <v>0</v>
      </c>
      <c r="N612" s="59">
        <f t="shared" si="178"/>
        <v>0</v>
      </c>
      <c r="O612" s="59">
        <f t="shared" si="178"/>
        <v>0</v>
      </c>
      <c r="P612" s="59">
        <f t="shared" si="178"/>
        <v>0</v>
      </c>
      <c r="Q612" s="59">
        <f t="shared" si="178"/>
        <v>0</v>
      </c>
      <c r="U612" s="60"/>
      <c r="W612" s="60"/>
      <c r="Y612" s="60"/>
      <c r="Z612" s="63"/>
      <c r="AC612" s="54"/>
      <c r="AG612" s="64"/>
    </row>
    <row r="613" spans="2:33"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U613" s="60"/>
      <c r="W613" s="60"/>
      <c r="Y613" s="60"/>
      <c r="Z613" s="63"/>
      <c r="AC613" s="54"/>
      <c r="AG613" s="64"/>
    </row>
    <row r="614" spans="2:33">
      <c r="C614" s="52" t="s">
        <v>495</v>
      </c>
      <c r="E614" s="59">
        <f>SUM(F614:Q614)</f>
        <v>0</v>
      </c>
      <c r="F614" s="59">
        <v>0</v>
      </c>
      <c r="G614" s="59">
        <v>0</v>
      </c>
      <c r="H614" s="59">
        <v>0</v>
      </c>
      <c r="I614" s="59">
        <v>0</v>
      </c>
      <c r="J614" s="59">
        <v>0</v>
      </c>
      <c r="K614" s="59">
        <v>0</v>
      </c>
      <c r="L614" s="59">
        <v>0</v>
      </c>
      <c r="M614" s="59">
        <v>0</v>
      </c>
      <c r="N614" s="59">
        <v>0</v>
      </c>
      <c r="O614" s="59">
        <v>0</v>
      </c>
      <c r="P614" s="59">
        <v>0</v>
      </c>
      <c r="Q614" s="59">
        <v>0</v>
      </c>
      <c r="S614" s="51" t="b">
        <f t="shared" ref="S614:S624" si="179">C292=C614</f>
        <v>1</v>
      </c>
      <c r="U614" s="60" t="e">
        <v>#N/A</v>
      </c>
      <c r="V614" s="51" t="str">
        <f t="shared" ref="V614:V624" si="180">V292</f>
        <v>Dunlap I Wind</v>
      </c>
      <c r="W614" s="60"/>
      <c r="Y614" s="60"/>
      <c r="Z614" s="63"/>
      <c r="AC614" s="54"/>
      <c r="AG614" s="62" t="str">
        <f t="shared" si="177"/>
        <v>Hide Row</v>
      </c>
    </row>
    <row r="615" spans="2:33">
      <c r="C615" s="52" t="s">
        <v>498</v>
      </c>
      <c r="E615" s="59">
        <f t="shared" ref="E615:E624" si="181">SUM(F615:Q615)</f>
        <v>0</v>
      </c>
      <c r="F615" s="59">
        <v>0</v>
      </c>
      <c r="G615" s="59">
        <v>0</v>
      </c>
      <c r="H615" s="59">
        <v>0</v>
      </c>
      <c r="I615" s="59">
        <v>0</v>
      </c>
      <c r="J615" s="59">
        <v>0</v>
      </c>
      <c r="K615" s="59">
        <v>0</v>
      </c>
      <c r="L615" s="59">
        <v>0</v>
      </c>
      <c r="M615" s="59">
        <v>0</v>
      </c>
      <c r="N615" s="59">
        <v>0</v>
      </c>
      <c r="O615" s="59">
        <v>0</v>
      </c>
      <c r="P615" s="59">
        <v>0</v>
      </c>
      <c r="Q615" s="59">
        <v>0</v>
      </c>
      <c r="S615" s="51" t="b">
        <f t="shared" si="179"/>
        <v>1</v>
      </c>
      <c r="U615" s="60" t="e">
        <v>#N/A</v>
      </c>
      <c r="V615" s="51" t="str">
        <f t="shared" si="180"/>
        <v>Foote Creek I Generation</v>
      </c>
      <c r="W615" s="60"/>
      <c r="Y615" s="60"/>
      <c r="AC615" s="54"/>
      <c r="AG615" s="62" t="str">
        <f t="shared" si="177"/>
        <v>Hide Row</v>
      </c>
    </row>
    <row r="616" spans="2:33">
      <c r="C616" s="52" t="s">
        <v>500</v>
      </c>
      <c r="E616" s="59">
        <f t="shared" si="181"/>
        <v>0</v>
      </c>
      <c r="F616" s="59">
        <v>0</v>
      </c>
      <c r="G616" s="59">
        <v>0</v>
      </c>
      <c r="H616" s="59">
        <v>0</v>
      </c>
      <c r="I616" s="59">
        <v>0</v>
      </c>
      <c r="J616" s="59">
        <v>0</v>
      </c>
      <c r="K616" s="59">
        <v>0</v>
      </c>
      <c r="L616" s="59">
        <v>0</v>
      </c>
      <c r="M616" s="59">
        <v>0</v>
      </c>
      <c r="N616" s="59">
        <v>0</v>
      </c>
      <c r="O616" s="59">
        <v>0</v>
      </c>
      <c r="P616" s="59">
        <v>0</v>
      </c>
      <c r="Q616" s="59">
        <v>0</v>
      </c>
      <c r="S616" s="51" t="b">
        <f t="shared" si="179"/>
        <v>1</v>
      </c>
      <c r="U616" s="60" t="e">
        <v>#N/A</v>
      </c>
      <c r="V616" s="51" t="str">
        <f t="shared" si="180"/>
        <v>Glenrock Wind</v>
      </c>
      <c r="W616" s="60"/>
      <c r="Y616" s="60"/>
      <c r="AC616" s="54"/>
      <c r="AG616" s="62" t="str">
        <f t="shared" si="177"/>
        <v>Hide Row</v>
      </c>
    </row>
    <row r="617" spans="2:33">
      <c r="C617" s="52" t="s">
        <v>502</v>
      </c>
      <c r="E617" s="59">
        <f t="shared" si="181"/>
        <v>0</v>
      </c>
      <c r="F617" s="59">
        <v>0</v>
      </c>
      <c r="G617" s="59">
        <v>0</v>
      </c>
      <c r="H617" s="59">
        <v>0</v>
      </c>
      <c r="I617" s="59">
        <v>0</v>
      </c>
      <c r="J617" s="59">
        <v>0</v>
      </c>
      <c r="K617" s="59">
        <v>0</v>
      </c>
      <c r="L617" s="59">
        <v>0</v>
      </c>
      <c r="M617" s="59">
        <v>0</v>
      </c>
      <c r="N617" s="59">
        <v>0</v>
      </c>
      <c r="O617" s="59">
        <v>0</v>
      </c>
      <c r="P617" s="59">
        <v>0</v>
      </c>
      <c r="Q617" s="59">
        <v>0</v>
      </c>
      <c r="S617" s="51" t="b">
        <f t="shared" si="179"/>
        <v>1</v>
      </c>
      <c r="U617" s="60" t="e">
        <v>#N/A</v>
      </c>
      <c r="V617" s="51" t="str">
        <f t="shared" si="180"/>
        <v>Glenrock III Wind</v>
      </c>
      <c r="W617" s="60"/>
      <c r="Y617" s="60"/>
      <c r="AC617" s="54"/>
      <c r="AG617" s="62" t="str">
        <f t="shared" si="177"/>
        <v>Hide Row</v>
      </c>
    </row>
    <row r="618" spans="2:33">
      <c r="C618" s="52" t="s">
        <v>504</v>
      </c>
      <c r="E618" s="59">
        <f t="shared" si="181"/>
        <v>267537.49869274406</v>
      </c>
      <c r="F618" s="59">
        <v>22592.233817299999</v>
      </c>
      <c r="G618" s="59">
        <v>24414.638584339998</v>
      </c>
      <c r="H618" s="59">
        <v>28241.6268624</v>
      </c>
      <c r="I618" s="59">
        <v>27561.8977997</v>
      </c>
      <c r="J618" s="59">
        <v>23959.111144400002</v>
      </c>
      <c r="K618" s="59">
        <v>18248.604973000001</v>
      </c>
      <c r="L618" s="59">
        <v>23552.8727555</v>
      </c>
      <c r="M618" s="59">
        <v>20841.859165999998</v>
      </c>
      <c r="N618" s="59">
        <v>14182.896642469999</v>
      </c>
      <c r="O618" s="59">
        <v>13954.056616653999</v>
      </c>
      <c r="P618" s="59">
        <v>18864.480786880002</v>
      </c>
      <c r="Q618" s="59">
        <v>31123.2195441</v>
      </c>
      <c r="S618" s="51" t="b">
        <f t="shared" si="179"/>
        <v>1</v>
      </c>
      <c r="U618" s="60">
        <v>7</v>
      </c>
      <c r="V618" s="51" t="str">
        <f t="shared" si="180"/>
        <v>Goodnoe Wind</v>
      </c>
      <c r="W618" s="60"/>
      <c r="Y618" s="60"/>
      <c r="AC618" s="54"/>
      <c r="AG618" s="62" t="str">
        <f t="shared" si="177"/>
        <v/>
      </c>
    </row>
    <row r="619" spans="2:33">
      <c r="C619" s="52" t="s">
        <v>505</v>
      </c>
      <c r="E619" s="59">
        <f t="shared" si="181"/>
        <v>0</v>
      </c>
      <c r="F619" s="59">
        <v>0</v>
      </c>
      <c r="G619" s="59">
        <v>0</v>
      </c>
      <c r="H619" s="59">
        <v>0</v>
      </c>
      <c r="I619" s="59">
        <v>0</v>
      </c>
      <c r="J619" s="59">
        <v>0</v>
      </c>
      <c r="K619" s="59">
        <v>0</v>
      </c>
      <c r="L619" s="59">
        <v>0</v>
      </c>
      <c r="M619" s="59">
        <v>0</v>
      </c>
      <c r="N619" s="59">
        <v>0</v>
      </c>
      <c r="O619" s="59">
        <v>0</v>
      </c>
      <c r="P619" s="59">
        <v>0</v>
      </c>
      <c r="Q619" s="59">
        <v>0</v>
      </c>
      <c r="S619" s="51" t="b">
        <f t="shared" si="179"/>
        <v>1</v>
      </c>
      <c r="U619" s="60" t="e">
        <v>#N/A</v>
      </c>
      <c r="V619" s="51" t="str">
        <f t="shared" si="180"/>
        <v>High Plains Wind</v>
      </c>
      <c r="W619" s="60"/>
      <c r="Y619" s="60"/>
      <c r="AC619" s="54"/>
      <c r="AG619" s="62" t="str">
        <f t="shared" si="177"/>
        <v>Hide Row</v>
      </c>
    </row>
    <row r="620" spans="2:33">
      <c r="C620" s="52" t="s">
        <v>507</v>
      </c>
      <c r="E620" s="59">
        <f t="shared" si="181"/>
        <v>302125.89095845004</v>
      </c>
      <c r="F620" s="59">
        <v>23371.430556250001</v>
      </c>
      <c r="G620" s="59">
        <v>31433.747917799999</v>
      </c>
      <c r="H620" s="59">
        <v>33459.756336500002</v>
      </c>
      <c r="I620" s="59">
        <v>35500.375979999997</v>
      </c>
      <c r="J620" s="59">
        <v>30105.230266999999</v>
      </c>
      <c r="K620" s="59">
        <v>25415.612421999998</v>
      </c>
      <c r="L620" s="59">
        <v>24045.990108499998</v>
      </c>
      <c r="M620" s="59">
        <v>17914.346372</v>
      </c>
      <c r="N620" s="59">
        <v>17830.403952000001</v>
      </c>
      <c r="O620" s="59">
        <v>15960.25557136</v>
      </c>
      <c r="P620" s="59">
        <v>17863.841139839999</v>
      </c>
      <c r="Q620" s="59">
        <v>29224.9003352</v>
      </c>
      <c r="S620" s="51" t="b">
        <f t="shared" si="179"/>
        <v>1</v>
      </c>
      <c r="U620" s="60">
        <v>8</v>
      </c>
      <c r="V620" s="51" t="str">
        <f t="shared" si="180"/>
        <v>Leaning Juniper 1</v>
      </c>
      <c r="W620" s="60"/>
      <c r="Y620" s="60"/>
      <c r="AC620" s="54"/>
      <c r="AG620" s="62" t="str">
        <f t="shared" si="177"/>
        <v/>
      </c>
    </row>
    <row r="621" spans="2:33">
      <c r="C621" s="52" t="s">
        <v>508</v>
      </c>
      <c r="E621" s="59">
        <f t="shared" si="181"/>
        <v>394338.34780013899</v>
      </c>
      <c r="F621" s="59">
        <v>35952.820786099997</v>
      </c>
      <c r="G621" s="59">
        <v>33329.449772029999</v>
      </c>
      <c r="H621" s="59">
        <v>32518.00766748</v>
      </c>
      <c r="I621" s="59">
        <v>31289.464650000002</v>
      </c>
      <c r="J621" s="59">
        <v>30363.996629000001</v>
      </c>
      <c r="K621" s="59">
        <v>29679.555492</v>
      </c>
      <c r="L621" s="59">
        <v>32404.40740394</v>
      </c>
      <c r="M621" s="59">
        <v>31665.870464799998</v>
      </c>
      <c r="N621" s="59">
        <v>34144.127231535</v>
      </c>
      <c r="O621" s="59">
        <v>32845.017672374001</v>
      </c>
      <c r="P621" s="59">
        <v>34870.4347604</v>
      </c>
      <c r="Q621" s="59">
        <v>35275.195270479999</v>
      </c>
      <c r="S621" s="51" t="b">
        <f t="shared" si="179"/>
        <v>1</v>
      </c>
      <c r="U621" s="60">
        <v>14</v>
      </c>
      <c r="V621" s="51" t="str">
        <f t="shared" si="180"/>
        <v>Marengo I</v>
      </c>
      <c r="W621" s="60" t="e">
        <v>#N/A</v>
      </c>
      <c r="X621" s="51" t="s">
        <v>510</v>
      </c>
      <c r="Y621" s="60"/>
      <c r="AC621" s="54"/>
      <c r="AG621" s="62" t="str">
        <f t="shared" si="177"/>
        <v/>
      </c>
    </row>
    <row r="622" spans="2:33">
      <c r="C622" s="52" t="s">
        <v>511</v>
      </c>
      <c r="E622" s="59">
        <f t="shared" si="181"/>
        <v>187890.08290778002</v>
      </c>
      <c r="F622" s="59">
        <v>13902.104375499999</v>
      </c>
      <c r="G622" s="59">
        <v>12350.20966361</v>
      </c>
      <c r="H622" s="59">
        <v>15253.163798699999</v>
      </c>
      <c r="I622" s="59">
        <v>12949.03191736</v>
      </c>
      <c r="J622" s="59">
        <v>13101.585340899999</v>
      </c>
      <c r="K622" s="59">
        <v>12317.180542399999</v>
      </c>
      <c r="L622" s="59">
        <v>12204.42103313</v>
      </c>
      <c r="M622" s="59">
        <v>16691.460321300001</v>
      </c>
      <c r="N622" s="59">
        <v>13991.66308226</v>
      </c>
      <c r="O622" s="59">
        <v>25968.76599113</v>
      </c>
      <c r="P622" s="59">
        <v>19263.5563387</v>
      </c>
      <c r="Q622" s="59">
        <v>19896.940502789999</v>
      </c>
      <c r="S622" s="51" t="b">
        <f t="shared" si="179"/>
        <v>1</v>
      </c>
      <c r="U622" s="60">
        <v>15</v>
      </c>
      <c r="V622" s="51" t="str">
        <f t="shared" si="180"/>
        <v>Marengo II</v>
      </c>
      <c r="W622" s="60"/>
      <c r="Y622" s="60"/>
      <c r="AC622" s="54"/>
      <c r="AG622" s="62" t="str">
        <f t="shared" si="177"/>
        <v/>
      </c>
    </row>
    <row r="623" spans="2:33">
      <c r="C623" s="52" t="s">
        <v>513</v>
      </c>
      <c r="E623" s="59">
        <f t="shared" si="181"/>
        <v>0</v>
      </c>
      <c r="F623" s="59">
        <v>0</v>
      </c>
      <c r="G623" s="59">
        <v>0</v>
      </c>
      <c r="H623" s="59">
        <v>0</v>
      </c>
      <c r="I623" s="59">
        <v>0</v>
      </c>
      <c r="J623" s="59">
        <v>0</v>
      </c>
      <c r="K623" s="59">
        <v>0</v>
      </c>
      <c r="L623" s="59">
        <v>0</v>
      </c>
      <c r="M623" s="59">
        <v>0</v>
      </c>
      <c r="N623" s="59">
        <v>0</v>
      </c>
      <c r="O623" s="59">
        <v>0</v>
      </c>
      <c r="P623" s="59">
        <v>0</v>
      </c>
      <c r="Q623" s="59">
        <v>0</v>
      </c>
      <c r="S623" s="51" t="b">
        <f t="shared" si="179"/>
        <v>1</v>
      </c>
      <c r="U623" s="60" t="e">
        <v>#N/A</v>
      </c>
      <c r="V623" s="51" t="str">
        <f t="shared" si="180"/>
        <v>McFadden Ridge Wind</v>
      </c>
      <c r="W623" s="60"/>
      <c r="Y623" s="60"/>
      <c r="AC623" s="54"/>
      <c r="AG623" s="62" t="str">
        <f t="shared" si="177"/>
        <v>Hide Row</v>
      </c>
    </row>
    <row r="624" spans="2:33">
      <c r="C624" s="52" t="s">
        <v>515</v>
      </c>
      <c r="E624" s="59">
        <f t="shared" si="181"/>
        <v>0</v>
      </c>
      <c r="F624" s="59">
        <v>0</v>
      </c>
      <c r="G624" s="59">
        <v>0</v>
      </c>
      <c r="H624" s="59">
        <v>0</v>
      </c>
      <c r="I624" s="59">
        <v>0</v>
      </c>
      <c r="J624" s="59">
        <v>0</v>
      </c>
      <c r="K624" s="59">
        <v>0</v>
      </c>
      <c r="L624" s="59">
        <v>0</v>
      </c>
      <c r="M624" s="59">
        <v>0</v>
      </c>
      <c r="N624" s="59">
        <v>0</v>
      </c>
      <c r="O624" s="59">
        <v>0</v>
      </c>
      <c r="P624" s="59">
        <v>0</v>
      </c>
      <c r="Q624" s="59">
        <v>0</v>
      </c>
      <c r="S624" s="51" t="b">
        <f t="shared" si="179"/>
        <v>1</v>
      </c>
      <c r="U624" s="60" t="e">
        <v>#N/A</v>
      </c>
      <c r="V624" s="51" t="str">
        <f t="shared" si="180"/>
        <v>Rolling Hills Wind</v>
      </c>
      <c r="W624" s="60"/>
      <c r="Y624" s="60"/>
      <c r="AC624" s="54"/>
      <c r="AG624" s="62" t="str">
        <f t="shared" si="177"/>
        <v>Hide Row</v>
      </c>
    </row>
    <row r="625" spans="1:33" hidden="1"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U625" s="60"/>
      <c r="W625" s="60"/>
      <c r="Y625" s="60"/>
      <c r="AC625" s="54"/>
      <c r="AG625" s="62" t="str">
        <f t="shared" si="177"/>
        <v>Hide Row</v>
      </c>
    </row>
    <row r="626" spans="1:33" hidden="1"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U626" s="60"/>
      <c r="W626" s="60"/>
      <c r="Y626" s="60"/>
      <c r="AC626" s="54"/>
      <c r="AG626" s="62" t="str">
        <f t="shared" si="177"/>
        <v>Hide Row</v>
      </c>
    </row>
    <row r="627" spans="1:33" hidden="1"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U627" s="60"/>
      <c r="W627" s="60"/>
      <c r="Y627" s="60"/>
      <c r="AC627" s="54"/>
      <c r="AG627" s="62" t="str">
        <f t="shared" si="177"/>
        <v>Hide Row</v>
      </c>
    </row>
    <row r="628" spans="1:33" hidden="1"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U628" s="60"/>
      <c r="W628" s="60"/>
      <c r="Y628" s="60"/>
      <c r="AC628" s="54"/>
      <c r="AG628" s="62" t="str">
        <f t="shared" si="177"/>
        <v>Hide Row</v>
      </c>
    </row>
    <row r="629" spans="1:33">
      <c r="C629" s="52" t="s">
        <v>517</v>
      </c>
      <c r="E629" s="59">
        <f>SUM(F629:Q629)</f>
        <v>0</v>
      </c>
      <c r="F629" s="59">
        <v>0</v>
      </c>
      <c r="G629" s="59">
        <v>0</v>
      </c>
      <c r="H629" s="59">
        <v>0</v>
      </c>
      <c r="I629" s="59">
        <v>0</v>
      </c>
      <c r="J629" s="59">
        <v>0</v>
      </c>
      <c r="K629" s="59">
        <v>0</v>
      </c>
      <c r="L629" s="59">
        <v>0</v>
      </c>
      <c r="M629" s="59">
        <v>0</v>
      </c>
      <c r="N629" s="59">
        <v>0</v>
      </c>
      <c r="O629" s="59">
        <v>0</v>
      </c>
      <c r="P629" s="59">
        <v>0</v>
      </c>
      <c r="Q629" s="59">
        <v>0</v>
      </c>
      <c r="S629" s="51" t="b">
        <f>C303=C629</f>
        <v>1</v>
      </c>
      <c r="U629" s="60" t="e">
        <v>#N/A</v>
      </c>
      <c r="V629" s="51" t="str">
        <f>V303</f>
        <v>Seven Mile Wind</v>
      </c>
      <c r="W629" s="60"/>
      <c r="Y629" s="60"/>
      <c r="AC629" s="54"/>
      <c r="AG629" s="62" t="str">
        <f t="shared" si="177"/>
        <v>Hide Row</v>
      </c>
    </row>
    <row r="630" spans="1:33">
      <c r="C630" s="52" t="s">
        <v>519</v>
      </c>
      <c r="E630" s="65">
        <f>SUM(F630:Q630)</f>
        <v>0</v>
      </c>
      <c r="F630" s="65">
        <v>0</v>
      </c>
      <c r="G630" s="65">
        <v>0</v>
      </c>
      <c r="H630" s="65">
        <v>0</v>
      </c>
      <c r="I630" s="65">
        <v>0</v>
      </c>
      <c r="J630" s="65">
        <v>0</v>
      </c>
      <c r="K630" s="65">
        <v>0</v>
      </c>
      <c r="L630" s="65">
        <v>0</v>
      </c>
      <c r="M630" s="65">
        <v>0</v>
      </c>
      <c r="N630" s="65">
        <v>0</v>
      </c>
      <c r="O630" s="65">
        <v>0</v>
      </c>
      <c r="P630" s="65">
        <v>0</v>
      </c>
      <c r="Q630" s="65">
        <v>0</v>
      </c>
      <c r="S630" s="51" t="b">
        <f>C304=C630</f>
        <v>1</v>
      </c>
      <c r="U630" s="60" t="e">
        <v>#N/A</v>
      </c>
      <c r="V630" s="51" t="str">
        <f>V304</f>
        <v>Seven Mile II Wind</v>
      </c>
      <c r="W630" s="60"/>
      <c r="Y630" s="60"/>
      <c r="AA630" s="64"/>
      <c r="AC630" s="54"/>
      <c r="AG630" s="62" t="str">
        <f t="shared" si="177"/>
        <v>Hide Row</v>
      </c>
    </row>
    <row r="631" spans="1:33"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U631" s="64"/>
      <c r="V631" s="64"/>
      <c r="W631" s="64"/>
      <c r="X631" s="64"/>
      <c r="Y631" s="64"/>
      <c r="Z631" s="64"/>
      <c r="AA631" s="64"/>
      <c r="AB631" s="64"/>
      <c r="AC631" s="54"/>
      <c r="AG631" s="64"/>
    </row>
    <row r="632" spans="1:33">
      <c r="B632" s="140" t="s">
        <v>563</v>
      </c>
      <c r="E632" s="65">
        <f>SUM(F632:Q632)</f>
        <v>1151891.8203591129</v>
      </c>
      <c r="F632" s="65">
        <f>SUM(F614:F630)</f>
        <v>95818.589535149993</v>
      </c>
      <c r="G632" s="65">
        <f t="shared" ref="G632:Q632" si="182">SUM(G614:G630)</f>
        <v>101528.04593778</v>
      </c>
      <c r="H632" s="65">
        <f t="shared" si="182"/>
        <v>109472.55466508001</v>
      </c>
      <c r="I632" s="65">
        <f t="shared" si="182"/>
        <v>107300.77034706</v>
      </c>
      <c r="J632" s="65">
        <f t="shared" si="182"/>
        <v>97529.923381300003</v>
      </c>
      <c r="K632" s="65">
        <f t="shared" si="182"/>
        <v>85660.953429400004</v>
      </c>
      <c r="L632" s="65">
        <f t="shared" si="182"/>
        <v>92207.691301069994</v>
      </c>
      <c r="M632" s="65">
        <f t="shared" si="182"/>
        <v>87113.536324099987</v>
      </c>
      <c r="N632" s="65">
        <f t="shared" si="182"/>
        <v>80149.090908265003</v>
      </c>
      <c r="O632" s="65">
        <f t="shared" si="182"/>
        <v>88728.095851517995</v>
      </c>
      <c r="P632" s="65">
        <f t="shared" si="182"/>
        <v>90862.313025820011</v>
      </c>
      <c r="Q632" s="65">
        <f t="shared" si="182"/>
        <v>115520.25565256999</v>
      </c>
      <c r="U632" s="64"/>
      <c r="V632" s="64"/>
      <c r="W632" s="64"/>
      <c r="X632" s="64"/>
      <c r="Y632" s="64"/>
      <c r="Z632" s="64"/>
      <c r="AA632" s="64"/>
      <c r="AB632" s="64"/>
      <c r="AC632" s="54"/>
      <c r="AG632" s="64"/>
    </row>
    <row r="633" spans="1:33" s="64" customFormat="1">
      <c r="A633" s="71"/>
      <c r="C633" s="58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53"/>
      <c r="T633" s="54"/>
      <c r="U633" s="51"/>
      <c r="V633" s="51"/>
      <c r="W633" s="51"/>
      <c r="X633" s="51"/>
      <c r="Y633" s="51"/>
      <c r="Z633" s="51"/>
      <c r="AA633" s="51"/>
      <c r="AB633" s="51"/>
      <c r="AC633" s="54"/>
      <c r="AD633" s="51"/>
      <c r="AE633" s="51"/>
      <c r="AF633" s="51"/>
    </row>
    <row r="634" spans="1:33" s="64" customFormat="1" ht="15.75">
      <c r="A634" s="103" t="str">
        <f>"Total "&amp;A608</f>
        <v>Total Other Generation</v>
      </c>
      <c r="C634" s="58"/>
      <c r="E634" s="66">
        <f t="shared" ref="E634:Q634" si="183">E612+E632</f>
        <v>1151891.8203591129</v>
      </c>
      <c r="F634" s="66">
        <f t="shared" si="183"/>
        <v>95818.589535149993</v>
      </c>
      <c r="G634" s="66">
        <f t="shared" si="183"/>
        <v>101528.04593778</v>
      </c>
      <c r="H634" s="66">
        <f t="shared" si="183"/>
        <v>109472.55466508001</v>
      </c>
      <c r="I634" s="66">
        <f t="shared" si="183"/>
        <v>107300.77034706</v>
      </c>
      <c r="J634" s="66">
        <f t="shared" si="183"/>
        <v>97529.923381300003</v>
      </c>
      <c r="K634" s="66">
        <f t="shared" si="183"/>
        <v>85660.953429400004</v>
      </c>
      <c r="L634" s="66">
        <f t="shared" si="183"/>
        <v>92207.691301069994</v>
      </c>
      <c r="M634" s="66">
        <f t="shared" si="183"/>
        <v>87113.536324099987</v>
      </c>
      <c r="N634" s="66">
        <f t="shared" si="183"/>
        <v>80149.090908265003</v>
      </c>
      <c r="O634" s="66">
        <f t="shared" si="183"/>
        <v>88728.095851517995</v>
      </c>
      <c r="P634" s="66">
        <f t="shared" si="183"/>
        <v>90862.313025820011</v>
      </c>
      <c r="Q634" s="66">
        <f t="shared" si="183"/>
        <v>115520.25565256999</v>
      </c>
      <c r="R634" s="53"/>
      <c r="T634" s="54"/>
      <c r="U634" s="51"/>
      <c r="V634" s="51"/>
      <c r="W634" s="51"/>
      <c r="X634" s="51"/>
      <c r="Y634" s="51"/>
      <c r="Z634" s="51"/>
      <c r="AA634" s="51"/>
      <c r="AB634" s="51"/>
      <c r="AC634" s="54"/>
      <c r="AD634" s="51"/>
      <c r="AE634" s="51"/>
      <c r="AF634" s="51"/>
    </row>
    <row r="635" spans="1:33">
      <c r="E635" s="126" t="s">
        <v>522</v>
      </c>
      <c r="F635" s="126" t="s">
        <v>522</v>
      </c>
      <c r="G635" s="126" t="s">
        <v>522</v>
      </c>
      <c r="H635" s="126" t="s">
        <v>522</v>
      </c>
      <c r="I635" s="126" t="s">
        <v>522</v>
      </c>
      <c r="J635" s="126" t="s">
        <v>522</v>
      </c>
      <c r="K635" s="126" t="s">
        <v>522</v>
      </c>
      <c r="L635" s="126" t="s">
        <v>522</v>
      </c>
      <c r="M635" s="126" t="s">
        <v>522</v>
      </c>
      <c r="N635" s="126" t="s">
        <v>522</v>
      </c>
      <c r="O635" s="126" t="s">
        <v>522</v>
      </c>
      <c r="P635" s="126" t="s">
        <v>522</v>
      </c>
      <c r="Q635" s="126" t="s">
        <v>522</v>
      </c>
      <c r="AC635" s="54"/>
    </row>
    <row r="636" spans="1:33" ht="15.75">
      <c r="A636" s="56" t="s">
        <v>564</v>
      </c>
      <c r="E636" s="66">
        <f>SUM(F636:Q636)</f>
        <v>22832358.778124008</v>
      </c>
      <c r="F636" s="66">
        <f t="shared" ref="F636:Q636" si="184">F569+F586+F600+F606+F634</f>
        <v>1861002.5992360099</v>
      </c>
      <c r="G636" s="66">
        <f t="shared" si="184"/>
        <v>1871957.2308306671</v>
      </c>
      <c r="H636" s="66">
        <f t="shared" si="184"/>
        <v>1923740.4242667831</v>
      </c>
      <c r="I636" s="66">
        <f t="shared" si="184"/>
        <v>2115239.6797639201</v>
      </c>
      <c r="J636" s="66">
        <f t="shared" si="184"/>
        <v>2019154.4307343869</v>
      </c>
      <c r="K636" s="66">
        <f t="shared" si="184"/>
        <v>1739740.6589717071</v>
      </c>
      <c r="L636" s="66">
        <f t="shared" si="184"/>
        <v>1786875.3327642758</v>
      </c>
      <c r="M636" s="66">
        <f t="shared" si="184"/>
        <v>1783748.5594456899</v>
      </c>
      <c r="N636" s="66">
        <f t="shared" si="184"/>
        <v>1996042.7262231589</v>
      </c>
      <c r="O636" s="66">
        <f t="shared" si="184"/>
        <v>2012404.6766642409</v>
      </c>
      <c r="P636" s="66">
        <f t="shared" si="184"/>
        <v>1828631.4948014964</v>
      </c>
      <c r="Q636" s="66">
        <f t="shared" si="184"/>
        <v>1893820.9644216748</v>
      </c>
      <c r="U636" s="72"/>
      <c r="V636" s="72"/>
      <c r="W636" s="72"/>
      <c r="Y636" s="72"/>
      <c r="Z636" s="72"/>
      <c r="AA636" s="72"/>
      <c r="AB636" s="72"/>
      <c r="AC636" s="54"/>
      <c r="AD636" s="72"/>
      <c r="AE636" s="72"/>
      <c r="AF636" s="72"/>
    </row>
    <row r="637" spans="1:33">
      <c r="E637" s="107" t="s">
        <v>522</v>
      </c>
      <c r="F637" s="107" t="s">
        <v>522</v>
      </c>
      <c r="G637" s="107" t="s">
        <v>522</v>
      </c>
      <c r="H637" s="107" t="s">
        <v>522</v>
      </c>
      <c r="I637" s="107" t="s">
        <v>522</v>
      </c>
      <c r="J637" s="107" t="s">
        <v>522</v>
      </c>
      <c r="K637" s="107" t="s">
        <v>522</v>
      </c>
      <c r="L637" s="107" t="s">
        <v>522</v>
      </c>
      <c r="M637" s="107" t="s">
        <v>522</v>
      </c>
      <c r="N637" s="107" t="s">
        <v>522</v>
      </c>
      <c r="O637" s="107" t="s">
        <v>522</v>
      </c>
      <c r="P637" s="107" t="s">
        <v>522</v>
      </c>
      <c r="Q637" s="107" t="s">
        <v>522</v>
      </c>
      <c r="AC637" s="54"/>
    </row>
    <row r="638" spans="1:33" s="142" customFormat="1">
      <c r="A638" s="141"/>
      <c r="C638" s="143"/>
      <c r="E638" s="144" t="str">
        <f t="shared" ref="E638:Q638" si="185">IF(E639="","","Error")</f>
        <v/>
      </c>
      <c r="F638" s="144" t="str">
        <f t="shared" si="185"/>
        <v/>
      </c>
      <c r="G638" s="144" t="str">
        <f t="shared" si="185"/>
        <v/>
      </c>
      <c r="H638" s="144" t="str">
        <f t="shared" si="185"/>
        <v/>
      </c>
      <c r="I638" s="144" t="str">
        <f t="shared" si="185"/>
        <v/>
      </c>
      <c r="J638" s="144" t="str">
        <f t="shared" si="185"/>
        <v/>
      </c>
      <c r="K638" s="144" t="str">
        <f t="shared" si="185"/>
        <v/>
      </c>
      <c r="L638" s="144" t="str">
        <f t="shared" si="185"/>
        <v/>
      </c>
      <c r="M638" s="144" t="str">
        <f t="shared" si="185"/>
        <v/>
      </c>
      <c r="N638" s="144" t="str">
        <f t="shared" si="185"/>
        <v/>
      </c>
      <c r="O638" s="144" t="str">
        <f t="shared" si="185"/>
        <v/>
      </c>
      <c r="P638" s="144" t="str">
        <f t="shared" si="185"/>
        <v/>
      </c>
      <c r="Q638" s="144" t="str">
        <f t="shared" si="185"/>
        <v/>
      </c>
      <c r="R638" s="53"/>
      <c r="T638" s="54"/>
      <c r="U638" s="51"/>
      <c r="V638" s="51"/>
      <c r="W638" s="51"/>
      <c r="X638" s="51"/>
      <c r="Y638" s="51"/>
      <c r="Z638" s="51"/>
      <c r="AA638" s="51"/>
      <c r="AB638" s="51"/>
      <c r="AC638" s="54"/>
      <c r="AD638" s="51"/>
      <c r="AE638" s="51"/>
      <c r="AF638" s="51"/>
    </row>
    <row r="639" spans="1:33" s="146" customFormat="1">
      <c r="A639" s="145"/>
      <c r="C639" s="147"/>
      <c r="E639" s="148" t="str">
        <f>IF(ABS(E636-E396)&gt;=30, E636-E396,"")</f>
        <v/>
      </c>
      <c r="F639" s="148" t="str">
        <f t="shared" ref="F639:Q639" si="186">IF(ABS(F636-F396)&gt;=5, F636-F396,"")</f>
        <v/>
      </c>
      <c r="G639" s="148" t="str">
        <f t="shared" si="186"/>
        <v/>
      </c>
      <c r="H639" s="148" t="str">
        <f t="shared" si="186"/>
        <v/>
      </c>
      <c r="I639" s="148" t="str">
        <f t="shared" si="186"/>
        <v/>
      </c>
      <c r="J639" s="148" t="str">
        <f t="shared" si="186"/>
        <v/>
      </c>
      <c r="K639" s="148" t="str">
        <f t="shared" si="186"/>
        <v/>
      </c>
      <c r="L639" s="148" t="str">
        <f t="shared" si="186"/>
        <v/>
      </c>
      <c r="M639" s="148" t="str">
        <f t="shared" si="186"/>
        <v/>
      </c>
      <c r="N639" s="148" t="str">
        <f t="shared" si="186"/>
        <v/>
      </c>
      <c r="O639" s="148" t="str">
        <f t="shared" si="186"/>
        <v/>
      </c>
      <c r="P639" s="148" t="str">
        <f t="shared" si="186"/>
        <v/>
      </c>
      <c r="Q639" s="148" t="str">
        <f t="shared" si="186"/>
        <v/>
      </c>
      <c r="R639" s="53"/>
      <c r="T639" s="54"/>
      <c r="U639" s="149"/>
      <c r="V639" s="149"/>
      <c r="W639" s="149"/>
      <c r="X639" s="149"/>
      <c r="Y639" s="149"/>
      <c r="Z639" s="149"/>
      <c r="AA639" s="149"/>
      <c r="AB639" s="149"/>
      <c r="AC639" s="150"/>
      <c r="AD639" s="62"/>
      <c r="AE639" s="62"/>
      <c r="AF639" s="62"/>
    </row>
    <row r="640" spans="1:33" ht="15.75">
      <c r="E640" s="49"/>
      <c r="F640" s="151"/>
      <c r="G640" s="151"/>
      <c r="H640" s="151"/>
      <c r="I640" s="151"/>
      <c r="J640" s="152" t="s">
        <v>565</v>
      </c>
      <c r="K640" s="151"/>
      <c r="L640" s="151"/>
      <c r="M640" s="151"/>
      <c r="N640" s="151"/>
      <c r="O640" s="151"/>
      <c r="P640" s="151"/>
      <c r="Q640" s="151"/>
      <c r="AC640" s="54"/>
    </row>
    <row r="641" spans="1:33" s="41" customFormat="1">
      <c r="C641" s="42"/>
      <c r="R641" s="53"/>
      <c r="T641" s="54"/>
      <c r="AC641" s="54"/>
    </row>
    <row r="642" spans="1:33" ht="15.75">
      <c r="A642" s="56" t="s">
        <v>566</v>
      </c>
      <c r="E642" s="151"/>
      <c r="F642" s="151"/>
      <c r="G642" s="151"/>
      <c r="H642" s="151"/>
      <c r="I642" s="151"/>
      <c r="J642" s="151"/>
      <c r="K642" s="151"/>
      <c r="L642" s="151"/>
      <c r="M642" s="151"/>
      <c r="N642" s="151"/>
      <c r="O642" s="151"/>
      <c r="P642" s="151"/>
      <c r="Q642" s="151"/>
      <c r="U642" s="41" t="s">
        <v>567</v>
      </c>
      <c r="V642" s="142"/>
      <c r="W642" s="142"/>
      <c r="X642" s="153"/>
      <c r="Y642" s="142"/>
      <c r="Z642" s="142"/>
      <c r="AA642" s="153" t="s">
        <v>568</v>
      </c>
      <c r="AB642" s="142"/>
      <c r="AC642" s="54"/>
      <c r="AD642" s="142"/>
      <c r="AE642" s="142"/>
      <c r="AF642" s="142"/>
    </row>
    <row r="643" spans="1:33">
      <c r="C643" s="52" t="s">
        <v>453</v>
      </c>
      <c r="E643" s="101">
        <f t="shared" ref="E643:E652" si="187">SUM(F643:Q643)</f>
        <v>0</v>
      </c>
      <c r="F643" s="101">
        <v>0</v>
      </c>
      <c r="G643" s="101">
        <v>0</v>
      </c>
      <c r="H643" s="101">
        <v>0</v>
      </c>
      <c r="I643" s="101">
        <v>0</v>
      </c>
      <c r="J643" s="101">
        <v>0</v>
      </c>
      <c r="K643" s="101">
        <v>0</v>
      </c>
      <c r="L643" s="101">
        <v>0</v>
      </c>
      <c r="M643" s="101">
        <v>0</v>
      </c>
      <c r="N643" s="101">
        <v>0</v>
      </c>
      <c r="O643" s="101">
        <v>0</v>
      </c>
      <c r="P643" s="101">
        <v>0</v>
      </c>
      <c r="Q643" s="101">
        <v>0</v>
      </c>
      <c r="U643" s="60" t="e">
        <v>#N/A</v>
      </c>
      <c r="V643" s="51" t="str">
        <f>C643</f>
        <v>Carbon</v>
      </c>
      <c r="AA643" s="60">
        <v>2</v>
      </c>
      <c r="AC643" s="54"/>
      <c r="AG643" s="62" t="str">
        <f t="shared" ref="AG643:AG655" si="188">IF(OR(ISNUMBER(U643),ISNUMBER(W643),ISNUMBER(Y643),ISNUMBER(AA643),ISNUMBER(AC643)),"","Hide Row")</f>
        <v/>
      </c>
    </row>
    <row r="644" spans="1:33">
      <c r="C644" s="52" t="s">
        <v>106</v>
      </c>
      <c r="E644" s="101">
        <f t="shared" si="187"/>
        <v>0</v>
      </c>
      <c r="F644" s="101">
        <v>0</v>
      </c>
      <c r="G644" s="101">
        <v>0</v>
      </c>
      <c r="H644" s="101">
        <v>0</v>
      </c>
      <c r="I644" s="101">
        <v>0</v>
      </c>
      <c r="J644" s="101">
        <v>0</v>
      </c>
      <c r="K644" s="101">
        <v>0</v>
      </c>
      <c r="L644" s="101">
        <v>0</v>
      </c>
      <c r="M644" s="101">
        <v>0</v>
      </c>
      <c r="N644" s="101">
        <v>0</v>
      </c>
      <c r="O644" s="101">
        <v>0</v>
      </c>
      <c r="P644" s="101">
        <v>0</v>
      </c>
      <c r="Q644" s="101">
        <v>0</v>
      </c>
      <c r="U644" s="60" t="e">
        <v>#N/A</v>
      </c>
      <c r="V644" s="51" t="str">
        <f t="shared" ref="V644:V655" si="189">C644</f>
        <v>Cholla</v>
      </c>
      <c r="AA644" s="60">
        <v>4</v>
      </c>
      <c r="AC644" s="54"/>
      <c r="AG644" s="62" t="str">
        <f t="shared" si="188"/>
        <v/>
      </c>
    </row>
    <row r="645" spans="1:33">
      <c r="C645" s="52" t="s">
        <v>454</v>
      </c>
      <c r="E645" s="101">
        <f t="shared" si="187"/>
        <v>6082306.9221868766</v>
      </c>
      <c r="F645" s="101">
        <v>514469.22452218743</v>
      </c>
      <c r="G645" s="101">
        <v>528749.48687986378</v>
      </c>
      <c r="H645" s="101">
        <v>322676.96999999997</v>
      </c>
      <c r="I645" s="101">
        <v>531434.37220404635</v>
      </c>
      <c r="J645" s="101">
        <v>531935.56804359308</v>
      </c>
      <c r="K645" s="101">
        <v>514608.24186376383</v>
      </c>
      <c r="L645" s="101">
        <v>531934.36390277115</v>
      </c>
      <c r="M645" s="101">
        <v>514358.13727889664</v>
      </c>
      <c r="N645" s="101">
        <v>532009.45864605368</v>
      </c>
      <c r="O645" s="101">
        <v>531575.62396790949</v>
      </c>
      <c r="P645" s="101">
        <v>497004.69132075453</v>
      </c>
      <c r="Q645" s="101">
        <v>531550.78355703712</v>
      </c>
      <c r="U645" s="60">
        <v>2</v>
      </c>
      <c r="V645" s="51" t="str">
        <f t="shared" si="189"/>
        <v>Colstrip</v>
      </c>
      <c r="AA645" s="60">
        <v>5</v>
      </c>
      <c r="AC645" s="54"/>
      <c r="AG645" s="62" t="str">
        <f t="shared" si="188"/>
        <v/>
      </c>
    </row>
    <row r="646" spans="1:33">
      <c r="C646" s="52" t="s">
        <v>455</v>
      </c>
      <c r="E646" s="101">
        <f t="shared" si="187"/>
        <v>0</v>
      </c>
      <c r="F646" s="101">
        <v>0</v>
      </c>
      <c r="G646" s="101">
        <v>0</v>
      </c>
      <c r="H646" s="101">
        <v>0</v>
      </c>
      <c r="I646" s="101">
        <v>0</v>
      </c>
      <c r="J646" s="101">
        <v>0</v>
      </c>
      <c r="K646" s="101">
        <v>0</v>
      </c>
      <c r="L646" s="101">
        <v>0</v>
      </c>
      <c r="M646" s="101">
        <v>0</v>
      </c>
      <c r="N646" s="101">
        <v>0</v>
      </c>
      <c r="O646" s="101">
        <v>0</v>
      </c>
      <c r="P646" s="101">
        <v>0</v>
      </c>
      <c r="Q646" s="101">
        <v>0</v>
      </c>
      <c r="U646" s="60" t="e">
        <v>#N/A</v>
      </c>
      <c r="V646" s="51" t="str">
        <f t="shared" si="189"/>
        <v>Craig</v>
      </c>
      <c r="AA646" s="60">
        <v>6</v>
      </c>
      <c r="AC646" s="54"/>
      <c r="AG646" s="62" t="str">
        <f t="shared" si="188"/>
        <v/>
      </c>
    </row>
    <row r="647" spans="1:33">
      <c r="C647" s="52" t="s">
        <v>456</v>
      </c>
      <c r="E647" s="101">
        <f t="shared" si="187"/>
        <v>0</v>
      </c>
      <c r="F647" s="101">
        <v>0</v>
      </c>
      <c r="G647" s="101">
        <v>0</v>
      </c>
      <c r="H647" s="101">
        <v>0</v>
      </c>
      <c r="I647" s="101">
        <v>0</v>
      </c>
      <c r="J647" s="101">
        <v>0</v>
      </c>
      <c r="K647" s="101">
        <v>0</v>
      </c>
      <c r="L647" s="101">
        <v>0</v>
      </c>
      <c r="M647" s="101">
        <v>0</v>
      </c>
      <c r="N647" s="101">
        <v>0</v>
      </c>
      <c r="O647" s="101">
        <v>0</v>
      </c>
      <c r="P647" s="101">
        <v>0</v>
      </c>
      <c r="Q647" s="101">
        <v>0</v>
      </c>
      <c r="U647" s="60" t="e">
        <v>#N/A</v>
      </c>
      <c r="V647" s="51" t="str">
        <f t="shared" si="189"/>
        <v>Dave Johnston</v>
      </c>
      <c r="AA647" s="60">
        <v>8</v>
      </c>
      <c r="AC647" s="54"/>
      <c r="AG647" s="62" t="str">
        <f t="shared" si="188"/>
        <v/>
      </c>
    </row>
    <row r="648" spans="1:33">
      <c r="C648" s="52" t="s">
        <v>457</v>
      </c>
      <c r="E648" s="101">
        <f t="shared" si="187"/>
        <v>0</v>
      </c>
      <c r="F648" s="101">
        <v>0</v>
      </c>
      <c r="G648" s="101">
        <v>0</v>
      </c>
      <c r="H648" s="101">
        <v>0</v>
      </c>
      <c r="I648" s="101">
        <v>0</v>
      </c>
      <c r="J648" s="101">
        <v>0</v>
      </c>
      <c r="K648" s="101">
        <v>0</v>
      </c>
      <c r="L648" s="101">
        <v>0</v>
      </c>
      <c r="M648" s="101">
        <v>0</v>
      </c>
      <c r="N648" s="101">
        <v>0</v>
      </c>
      <c r="O648" s="101">
        <v>0</v>
      </c>
      <c r="P648" s="101">
        <v>0</v>
      </c>
      <c r="Q648" s="101">
        <v>0</v>
      </c>
      <c r="U648" s="60" t="e">
        <v>#N/A</v>
      </c>
      <c r="V648" s="51" t="str">
        <f t="shared" si="189"/>
        <v>Hayden</v>
      </c>
      <c r="AA648" s="60">
        <v>11</v>
      </c>
      <c r="AC648" s="54"/>
      <c r="AG648" s="62" t="str">
        <f t="shared" si="188"/>
        <v/>
      </c>
    </row>
    <row r="649" spans="1:33">
      <c r="C649" s="52" t="s">
        <v>458</v>
      </c>
      <c r="E649" s="101">
        <f t="shared" si="187"/>
        <v>0</v>
      </c>
      <c r="F649" s="101">
        <v>0</v>
      </c>
      <c r="G649" s="101">
        <v>0</v>
      </c>
      <c r="H649" s="101">
        <v>0</v>
      </c>
      <c r="I649" s="101">
        <v>0</v>
      </c>
      <c r="J649" s="101">
        <v>0</v>
      </c>
      <c r="K649" s="101">
        <v>0</v>
      </c>
      <c r="L649" s="101">
        <v>0</v>
      </c>
      <c r="M649" s="101">
        <v>0</v>
      </c>
      <c r="N649" s="101">
        <v>0</v>
      </c>
      <c r="O649" s="101">
        <v>0</v>
      </c>
      <c r="P649" s="101">
        <v>0</v>
      </c>
      <c r="Q649" s="101">
        <v>0</v>
      </c>
      <c r="U649" s="60" t="e">
        <v>#N/A</v>
      </c>
      <c r="V649" s="51" t="str">
        <f t="shared" si="189"/>
        <v>Hunter</v>
      </c>
      <c r="AA649" s="60">
        <v>13</v>
      </c>
      <c r="AC649" s="54"/>
      <c r="AG649" s="62" t="str">
        <f t="shared" si="188"/>
        <v/>
      </c>
    </row>
    <row r="650" spans="1:33">
      <c r="C650" s="52" t="s">
        <v>459</v>
      </c>
      <c r="E650" s="101">
        <f t="shared" si="187"/>
        <v>0</v>
      </c>
      <c r="F650" s="101">
        <v>0</v>
      </c>
      <c r="G650" s="101">
        <v>0</v>
      </c>
      <c r="H650" s="101">
        <v>0</v>
      </c>
      <c r="I650" s="101">
        <v>0</v>
      </c>
      <c r="J650" s="101">
        <v>0</v>
      </c>
      <c r="K650" s="101">
        <v>0</v>
      </c>
      <c r="L650" s="101">
        <v>0</v>
      </c>
      <c r="M650" s="101">
        <v>0</v>
      </c>
      <c r="N650" s="101">
        <v>0</v>
      </c>
      <c r="O650" s="101">
        <v>0</v>
      </c>
      <c r="P650" s="101">
        <v>0</v>
      </c>
      <c r="Q650" s="101">
        <v>0</v>
      </c>
      <c r="U650" s="60" t="e">
        <v>#N/A</v>
      </c>
      <c r="V650" s="51" t="str">
        <f t="shared" si="189"/>
        <v>Huntington</v>
      </c>
      <c r="AA650" s="60">
        <v>14</v>
      </c>
      <c r="AC650" s="54"/>
      <c r="AG650" s="62" t="str">
        <f t="shared" si="188"/>
        <v/>
      </c>
    </row>
    <row r="651" spans="1:33">
      <c r="C651" s="52" t="s">
        <v>119</v>
      </c>
      <c r="E651" s="101">
        <f t="shared" si="187"/>
        <v>103037250.09612657</v>
      </c>
      <c r="F651" s="101">
        <v>7396014.8388365488</v>
      </c>
      <c r="G651" s="101">
        <v>6816091.1100565316</v>
      </c>
      <c r="H651" s="101">
        <v>7608855.3000000007</v>
      </c>
      <c r="I651" s="101">
        <v>9606166.1742026154</v>
      </c>
      <c r="J651" s="101">
        <v>9448975.2680280786</v>
      </c>
      <c r="K651" s="101">
        <v>9070193.0054199174</v>
      </c>
      <c r="L651" s="101">
        <v>9511581.861862408</v>
      </c>
      <c r="M651" s="101">
        <v>9070095.3796561379</v>
      </c>
      <c r="N651" s="101">
        <v>9155624.2074656859</v>
      </c>
      <c r="O651" s="101">
        <v>8824453.8857196569</v>
      </c>
      <c r="P651" s="101">
        <v>8529505.8308372777</v>
      </c>
      <c r="Q651" s="101">
        <v>7999693.2340417029</v>
      </c>
      <c r="U651" s="60">
        <v>4</v>
      </c>
      <c r="V651" s="51" t="str">
        <f t="shared" si="189"/>
        <v>Jim Bridger</v>
      </c>
      <c r="AA651" s="60">
        <v>15</v>
      </c>
      <c r="AC651" s="54"/>
      <c r="AG651" s="62" t="str">
        <f t="shared" si="188"/>
        <v/>
      </c>
    </row>
    <row r="652" spans="1:33">
      <c r="C652" s="52" t="s">
        <v>460</v>
      </c>
      <c r="E652" s="101">
        <f t="shared" si="187"/>
        <v>0</v>
      </c>
      <c r="F652" s="101">
        <v>0</v>
      </c>
      <c r="G652" s="101">
        <v>0</v>
      </c>
      <c r="H652" s="101">
        <v>0</v>
      </c>
      <c r="I652" s="101">
        <v>0</v>
      </c>
      <c r="J652" s="101">
        <v>0</v>
      </c>
      <c r="K652" s="101">
        <v>0</v>
      </c>
      <c r="L652" s="101">
        <v>0</v>
      </c>
      <c r="M652" s="101">
        <v>0</v>
      </c>
      <c r="N652" s="101">
        <v>0</v>
      </c>
      <c r="O652" s="101">
        <v>0</v>
      </c>
      <c r="P652" s="101">
        <v>0</v>
      </c>
      <c r="Q652" s="101">
        <v>0</v>
      </c>
      <c r="U652" s="60" t="e">
        <v>#N/A</v>
      </c>
      <c r="V652" s="51" t="str">
        <f t="shared" si="189"/>
        <v>Naughton</v>
      </c>
      <c r="AA652" s="60">
        <v>17</v>
      </c>
      <c r="AC652" s="54"/>
      <c r="AG652" s="62" t="str">
        <f t="shared" si="188"/>
        <v/>
      </c>
    </row>
    <row r="653" spans="1:33">
      <c r="C653" s="52">
        <v>0</v>
      </c>
      <c r="E653" s="101">
        <f>SUM(F653:Q653)</f>
        <v>0</v>
      </c>
      <c r="F653" s="101">
        <v>0</v>
      </c>
      <c r="G653" s="101">
        <v>0</v>
      </c>
      <c r="H653" s="101">
        <v>0</v>
      </c>
      <c r="I653" s="101">
        <v>0</v>
      </c>
      <c r="J653" s="101">
        <v>0</v>
      </c>
      <c r="K653" s="101">
        <v>0</v>
      </c>
      <c r="L653" s="101">
        <v>0</v>
      </c>
      <c r="M653" s="101">
        <v>0</v>
      </c>
      <c r="N653" s="101">
        <v>0</v>
      </c>
      <c r="O653" s="101">
        <v>0</v>
      </c>
      <c r="P653" s="101">
        <v>0</v>
      </c>
      <c r="Q653" s="101">
        <v>0</v>
      </c>
      <c r="U653" s="60" t="e">
        <v>#N/A</v>
      </c>
      <c r="V653" s="51">
        <f>C653</f>
        <v>0</v>
      </c>
      <c r="AA653" s="60" t="e">
        <v>#N/A</v>
      </c>
      <c r="AC653" s="54"/>
      <c r="AG653" s="62"/>
    </row>
    <row r="654" spans="1:33" hidden="1">
      <c r="C654" s="52">
        <v>0</v>
      </c>
      <c r="E654" s="101">
        <f>SUM(F654:Q654)</f>
        <v>0</v>
      </c>
      <c r="F654" s="101">
        <v>0</v>
      </c>
      <c r="G654" s="101">
        <v>0</v>
      </c>
      <c r="H654" s="101">
        <v>0</v>
      </c>
      <c r="I654" s="101">
        <v>0</v>
      </c>
      <c r="J654" s="101">
        <v>0</v>
      </c>
      <c r="K654" s="101">
        <v>0</v>
      </c>
      <c r="L654" s="101">
        <v>0</v>
      </c>
      <c r="M654" s="101">
        <v>0</v>
      </c>
      <c r="N654" s="101">
        <v>0</v>
      </c>
      <c r="O654" s="101">
        <v>0</v>
      </c>
      <c r="P654" s="101">
        <v>0</v>
      </c>
      <c r="Q654" s="101">
        <v>0</v>
      </c>
      <c r="U654" s="60" t="e">
        <v>#N/A</v>
      </c>
      <c r="V654" s="51">
        <f>C654</f>
        <v>0</v>
      </c>
      <c r="AA654" s="60" t="e">
        <v>#N/A</v>
      </c>
      <c r="AC654" s="54"/>
      <c r="AG654" s="62" t="str">
        <f t="shared" si="188"/>
        <v>Hide Row</v>
      </c>
    </row>
    <row r="655" spans="1:33" ht="12" customHeight="1">
      <c r="C655" s="52" t="s">
        <v>462</v>
      </c>
      <c r="E655" s="101">
        <f>SUM(F655:Q655)</f>
        <v>0</v>
      </c>
      <c r="F655" s="101">
        <v>0</v>
      </c>
      <c r="G655" s="101">
        <v>0</v>
      </c>
      <c r="H655" s="101">
        <v>0</v>
      </c>
      <c r="I655" s="101">
        <v>0</v>
      </c>
      <c r="J655" s="101">
        <v>0</v>
      </c>
      <c r="K655" s="101">
        <v>0</v>
      </c>
      <c r="L655" s="101">
        <v>0</v>
      </c>
      <c r="M655" s="101">
        <v>0</v>
      </c>
      <c r="N655" s="101">
        <v>0</v>
      </c>
      <c r="O655" s="101">
        <v>0</v>
      </c>
      <c r="P655" s="101">
        <v>0</v>
      </c>
      <c r="Q655" s="101">
        <v>0</v>
      </c>
      <c r="U655" s="60" t="e">
        <v>#N/A</v>
      </c>
      <c r="V655" s="51" t="str">
        <f t="shared" si="189"/>
        <v>Wyodak</v>
      </c>
      <c r="AA655" s="60">
        <v>18</v>
      </c>
      <c r="AC655" s="54"/>
      <c r="AG655" s="62" t="str">
        <f t="shared" si="188"/>
        <v/>
      </c>
    </row>
    <row r="656" spans="1:33" ht="12.75" customHeight="1"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AC656" s="54"/>
    </row>
    <row r="657" spans="1:33" ht="12.75" customHeight="1">
      <c r="C657" s="52" t="s">
        <v>192</v>
      </c>
      <c r="E657" s="101">
        <f t="shared" ref="E657:E658" si="190">SUM(F657:Q657)</f>
        <v>9253863.8870000001</v>
      </c>
      <c r="F657" s="101">
        <v>682310.88</v>
      </c>
      <c r="G657" s="101">
        <v>198938.98499999999</v>
      </c>
      <c r="H657" s="101">
        <v>16535.252</v>
      </c>
      <c r="I657" s="101">
        <v>946703</v>
      </c>
      <c r="J657" s="101">
        <v>1032995.1499999999</v>
      </c>
      <c r="K657" s="101">
        <v>852291.7</v>
      </c>
      <c r="L657" s="101">
        <v>1054458.42</v>
      </c>
      <c r="M657" s="101">
        <v>941925.75</v>
      </c>
      <c r="N657" s="101">
        <v>967824.75</v>
      </c>
      <c r="O657" s="101">
        <v>939981</v>
      </c>
      <c r="P657" s="101">
        <v>820637.7</v>
      </c>
      <c r="Q657" s="101">
        <v>799261.3</v>
      </c>
      <c r="U657" s="60">
        <v>3</v>
      </c>
      <c r="V657" s="51" t="s">
        <v>471</v>
      </c>
      <c r="W657" s="60" t="e">
        <v>#N/A</v>
      </c>
      <c r="X657" s="51" t="s">
        <v>195</v>
      </c>
      <c r="AC657" s="54"/>
    </row>
    <row r="658" spans="1:33" ht="12.75" customHeight="1">
      <c r="C658" s="52" t="s">
        <v>255</v>
      </c>
      <c r="E658" s="101">
        <f t="shared" si="190"/>
        <v>0</v>
      </c>
      <c r="F658" s="101">
        <v>0</v>
      </c>
      <c r="G658" s="101">
        <v>0</v>
      </c>
      <c r="H658" s="101">
        <v>0</v>
      </c>
      <c r="I658" s="101">
        <v>0</v>
      </c>
      <c r="J658" s="101">
        <v>0</v>
      </c>
      <c r="K658" s="101">
        <v>0</v>
      </c>
      <c r="L658" s="101">
        <v>0</v>
      </c>
      <c r="M658" s="101">
        <v>0</v>
      </c>
      <c r="N658" s="101">
        <v>0</v>
      </c>
      <c r="O658" s="101">
        <v>0</v>
      </c>
      <c r="P658" s="101">
        <v>0</v>
      </c>
      <c r="Q658" s="101">
        <v>0</v>
      </c>
      <c r="U658" s="60" t="e">
        <v>#N/A</v>
      </c>
      <c r="V658" s="51" t="s">
        <v>255</v>
      </c>
      <c r="AC658" s="54"/>
    </row>
    <row r="659" spans="1:33" ht="12.75" customHeight="1"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AC659" s="54"/>
    </row>
    <row r="660" spans="1:33">
      <c r="C660" s="52" t="s">
        <v>116</v>
      </c>
      <c r="E660" s="101">
        <f t="shared" ref="E660:E668" si="191">SUM(F660:Q660)</f>
        <v>8922035.3839999996</v>
      </c>
      <c r="F660" s="101">
        <v>50953.004000000001</v>
      </c>
      <c r="G660" s="101">
        <v>0</v>
      </c>
      <c r="H660" s="101">
        <v>0</v>
      </c>
      <c r="I660" s="101">
        <v>1503036.1</v>
      </c>
      <c r="J660" s="101">
        <v>1891489.4</v>
      </c>
      <c r="K660" s="101">
        <v>1266229</v>
      </c>
      <c r="L660" s="101">
        <v>913253.7</v>
      </c>
      <c r="M660" s="101">
        <v>427269.03</v>
      </c>
      <c r="N660" s="101">
        <v>918747.75</v>
      </c>
      <c r="O660" s="101">
        <v>963190.3</v>
      </c>
      <c r="P660" s="101">
        <v>811746.1</v>
      </c>
      <c r="Q660" s="101">
        <v>176121</v>
      </c>
      <c r="U660" s="60">
        <v>1</v>
      </c>
      <c r="V660" s="51" t="s">
        <v>116</v>
      </c>
      <c r="AC660" s="54"/>
      <c r="AG660" s="62" t="str">
        <f t="shared" ref="AG660:AG669" si="192">IF(OR(ISNUMBER(U660),ISNUMBER(W660),ISNUMBER(Y660),ISNUMBER(AA660),ISNUMBER(AC660)),"","Hide Row")</f>
        <v/>
      </c>
    </row>
    <row r="661" spans="1:33">
      <c r="C661" s="52" t="s">
        <v>466</v>
      </c>
      <c r="E661" s="101">
        <f t="shared" si="191"/>
        <v>0</v>
      </c>
      <c r="F661" s="101">
        <v>0</v>
      </c>
      <c r="G661" s="101">
        <v>0</v>
      </c>
      <c r="H661" s="101">
        <v>0</v>
      </c>
      <c r="I661" s="101">
        <v>0</v>
      </c>
      <c r="J661" s="101">
        <v>0</v>
      </c>
      <c r="K661" s="101">
        <v>0</v>
      </c>
      <c r="L661" s="101">
        <v>0</v>
      </c>
      <c r="M661" s="101">
        <v>0</v>
      </c>
      <c r="N661" s="101">
        <v>0</v>
      </c>
      <c r="O661" s="101">
        <v>0</v>
      </c>
      <c r="P661" s="101">
        <v>0</v>
      </c>
      <c r="Q661" s="101">
        <v>0</v>
      </c>
      <c r="U661" s="60" t="e">
        <v>#N/A</v>
      </c>
      <c r="V661" s="51" t="str">
        <f t="shared" ref="V661:V668" si="193">C661</f>
        <v>Currant Creek</v>
      </c>
      <c r="AC661" s="54"/>
      <c r="AG661" s="62" t="str">
        <f t="shared" si="192"/>
        <v>Hide Row</v>
      </c>
    </row>
    <row r="662" spans="1:33">
      <c r="C662" s="52" t="s">
        <v>467</v>
      </c>
      <c r="E662" s="101">
        <f t="shared" si="191"/>
        <v>0</v>
      </c>
      <c r="F662" s="101">
        <v>0</v>
      </c>
      <c r="G662" s="101">
        <v>0</v>
      </c>
      <c r="H662" s="101">
        <v>0</v>
      </c>
      <c r="I662" s="101">
        <v>0</v>
      </c>
      <c r="J662" s="101">
        <v>0</v>
      </c>
      <c r="K662" s="101">
        <v>0</v>
      </c>
      <c r="L662" s="101">
        <v>0</v>
      </c>
      <c r="M662" s="101">
        <v>0</v>
      </c>
      <c r="N662" s="101">
        <v>0</v>
      </c>
      <c r="O662" s="101">
        <v>0</v>
      </c>
      <c r="P662" s="101">
        <v>0</v>
      </c>
      <c r="Q662" s="101">
        <v>0</v>
      </c>
      <c r="U662" s="60" t="e">
        <v>#N/A</v>
      </c>
      <c r="V662" s="51" t="str">
        <f t="shared" si="193"/>
        <v>Gadsby</v>
      </c>
      <c r="AC662" s="54"/>
      <c r="AG662" s="62" t="str">
        <f t="shared" si="192"/>
        <v>Hide Row</v>
      </c>
    </row>
    <row r="663" spans="1:33">
      <c r="C663" s="52" t="s">
        <v>469</v>
      </c>
      <c r="E663" s="101">
        <f t="shared" si="191"/>
        <v>0</v>
      </c>
      <c r="F663" s="101">
        <v>0</v>
      </c>
      <c r="G663" s="101">
        <v>0</v>
      </c>
      <c r="H663" s="101">
        <v>0</v>
      </c>
      <c r="I663" s="101">
        <v>0</v>
      </c>
      <c r="J663" s="101">
        <v>0</v>
      </c>
      <c r="K663" s="101">
        <v>0</v>
      </c>
      <c r="L663" s="101">
        <v>0</v>
      </c>
      <c r="M663" s="101">
        <v>0</v>
      </c>
      <c r="N663" s="101">
        <v>0</v>
      </c>
      <c r="O663" s="101">
        <v>0</v>
      </c>
      <c r="P663" s="101">
        <v>0</v>
      </c>
      <c r="Q663" s="101">
        <v>0</v>
      </c>
      <c r="U663" s="60" t="e">
        <v>#N/A</v>
      </c>
      <c r="V663" s="51" t="str">
        <f t="shared" si="193"/>
        <v>Gadsby CT</v>
      </c>
      <c r="AC663" s="54"/>
      <c r="AG663" s="62" t="str">
        <f t="shared" si="192"/>
        <v>Hide Row</v>
      </c>
    </row>
    <row r="664" spans="1:33">
      <c r="C664" s="52" t="s">
        <v>470</v>
      </c>
      <c r="E664" s="101">
        <f t="shared" si="191"/>
        <v>9253863.8870000001</v>
      </c>
      <c r="F664" s="101">
        <v>682310.88</v>
      </c>
      <c r="G664" s="101">
        <v>198938.98499999999</v>
      </c>
      <c r="H664" s="101">
        <v>16535.252</v>
      </c>
      <c r="I664" s="101">
        <v>946703</v>
      </c>
      <c r="J664" s="101">
        <v>1032995.1499999999</v>
      </c>
      <c r="K664" s="101">
        <v>852291.7</v>
      </c>
      <c r="L664" s="101">
        <v>1054458.42</v>
      </c>
      <c r="M664" s="101">
        <v>941925.75</v>
      </c>
      <c r="N664" s="101">
        <v>967824.75</v>
      </c>
      <c r="O664" s="101">
        <v>939981</v>
      </c>
      <c r="P664" s="101">
        <v>820637.7</v>
      </c>
      <c r="Q664" s="101">
        <v>799261.3</v>
      </c>
      <c r="U664" s="60">
        <v>3</v>
      </c>
      <c r="V664" s="51" t="s">
        <v>471</v>
      </c>
      <c r="W664" s="60" t="e">
        <v>#N/A</v>
      </c>
      <c r="X664" s="51" t="s">
        <v>195</v>
      </c>
      <c r="Z664" s="63"/>
      <c r="AC664" s="54"/>
      <c r="AG664" s="62" t="str">
        <f t="shared" si="192"/>
        <v/>
      </c>
    </row>
    <row r="665" spans="1:33">
      <c r="C665" s="52" t="s">
        <v>472</v>
      </c>
      <c r="E665" s="101">
        <f t="shared" si="191"/>
        <v>0</v>
      </c>
      <c r="F665" s="101">
        <v>0</v>
      </c>
      <c r="G665" s="101">
        <v>0</v>
      </c>
      <c r="H665" s="101">
        <v>0</v>
      </c>
      <c r="I665" s="101">
        <v>0</v>
      </c>
      <c r="J665" s="101">
        <v>0</v>
      </c>
      <c r="K665" s="101">
        <v>0</v>
      </c>
      <c r="L665" s="101">
        <v>0</v>
      </c>
      <c r="M665" s="101">
        <v>0</v>
      </c>
      <c r="N665" s="101">
        <v>0</v>
      </c>
      <c r="O665" s="101">
        <v>0</v>
      </c>
      <c r="P665" s="101">
        <v>0</v>
      </c>
      <c r="Q665" s="101">
        <v>0</v>
      </c>
      <c r="U665" s="60" t="e">
        <v>#N/A</v>
      </c>
      <c r="V665" s="51" t="str">
        <f t="shared" si="193"/>
        <v>Lake Side 1</v>
      </c>
      <c r="AC665" s="54"/>
      <c r="AG665" s="62" t="str">
        <f t="shared" si="192"/>
        <v>Hide Row</v>
      </c>
    </row>
    <row r="666" spans="1:33">
      <c r="C666" s="52" t="s">
        <v>644</v>
      </c>
      <c r="E666" s="101">
        <f t="shared" si="191"/>
        <v>0</v>
      </c>
      <c r="F666" s="101">
        <v>0</v>
      </c>
      <c r="G666" s="101">
        <v>0</v>
      </c>
      <c r="H666" s="101">
        <v>0</v>
      </c>
      <c r="I666" s="101">
        <v>0</v>
      </c>
      <c r="J666" s="101">
        <v>0</v>
      </c>
      <c r="K666" s="101">
        <v>0</v>
      </c>
      <c r="L666" s="101">
        <v>0</v>
      </c>
      <c r="M666" s="101">
        <v>0</v>
      </c>
      <c r="N666" s="101">
        <v>0</v>
      </c>
      <c r="O666" s="101">
        <v>0</v>
      </c>
      <c r="P666" s="101">
        <v>0</v>
      </c>
      <c r="Q666" s="101">
        <v>0</v>
      </c>
      <c r="U666" s="60" t="e">
        <v>#N/A</v>
      </c>
      <c r="V666" s="51" t="str">
        <f t="shared" si="193"/>
        <v>Lake Side II</v>
      </c>
      <c r="AC666" s="54"/>
      <c r="AG666" s="62" t="str">
        <f t="shared" si="192"/>
        <v>Hide Row</v>
      </c>
    </row>
    <row r="667" spans="1:33">
      <c r="C667" s="52" t="s">
        <v>473</v>
      </c>
      <c r="E667" s="101">
        <f t="shared" si="191"/>
        <v>0</v>
      </c>
      <c r="F667" s="101">
        <v>0</v>
      </c>
      <c r="G667" s="101">
        <v>0</v>
      </c>
      <c r="H667" s="101">
        <v>0</v>
      </c>
      <c r="I667" s="101">
        <v>0</v>
      </c>
      <c r="J667" s="101">
        <v>0</v>
      </c>
      <c r="K667" s="101">
        <v>0</v>
      </c>
      <c r="L667" s="101">
        <v>0</v>
      </c>
      <c r="M667" s="101">
        <v>0</v>
      </c>
      <c r="N667" s="101">
        <v>0</v>
      </c>
      <c r="O667" s="101">
        <v>0</v>
      </c>
      <c r="P667" s="101">
        <v>0</v>
      </c>
      <c r="Q667" s="101">
        <v>0</v>
      </c>
      <c r="U667" s="60" t="e">
        <v>#N/A</v>
      </c>
      <c r="V667" s="51" t="str">
        <f t="shared" si="193"/>
        <v>Little Mountain</v>
      </c>
      <c r="AC667" s="54"/>
      <c r="AG667" s="62" t="str">
        <f t="shared" si="192"/>
        <v>Hide Row</v>
      </c>
    </row>
    <row r="668" spans="1:33">
      <c r="C668" s="52" t="s">
        <v>474</v>
      </c>
      <c r="E668" s="101">
        <f t="shared" si="191"/>
        <v>0</v>
      </c>
      <c r="F668" s="101">
        <v>0</v>
      </c>
      <c r="G668" s="101">
        <v>0</v>
      </c>
      <c r="H668" s="101">
        <v>0</v>
      </c>
      <c r="I668" s="101">
        <v>0</v>
      </c>
      <c r="J668" s="101">
        <v>0</v>
      </c>
      <c r="K668" s="101">
        <v>0</v>
      </c>
      <c r="L668" s="101">
        <v>0</v>
      </c>
      <c r="M668" s="101">
        <v>0</v>
      </c>
      <c r="N668" s="101">
        <v>0</v>
      </c>
      <c r="O668" s="101">
        <v>0</v>
      </c>
      <c r="P668" s="101">
        <v>0</v>
      </c>
      <c r="Q668" s="101">
        <v>0</v>
      </c>
      <c r="U668" s="60" t="e">
        <v>#N/A</v>
      </c>
      <c r="V668" s="51" t="str">
        <f t="shared" si="193"/>
        <v>Naughton - Gas</v>
      </c>
      <c r="AC668" s="54"/>
      <c r="AG668" s="62" t="str">
        <f t="shared" si="192"/>
        <v>Hide Row</v>
      </c>
    </row>
    <row r="669" spans="1:33" hidden="1">
      <c r="C669" s="52" t="s">
        <v>475</v>
      </c>
      <c r="E669" s="101">
        <f>SUM(F669:Q669)</f>
        <v>0</v>
      </c>
      <c r="F669" s="101">
        <v>0</v>
      </c>
      <c r="G669" s="101">
        <v>0</v>
      </c>
      <c r="H669" s="101">
        <v>0</v>
      </c>
      <c r="I669" s="101">
        <v>0</v>
      </c>
      <c r="J669" s="101">
        <v>0</v>
      </c>
      <c r="K669" s="101">
        <v>0</v>
      </c>
      <c r="L669" s="101">
        <v>0</v>
      </c>
      <c r="M669" s="101">
        <v>0</v>
      </c>
      <c r="N669" s="101">
        <v>0</v>
      </c>
      <c r="O669" s="101">
        <v>0</v>
      </c>
      <c r="P669" s="101">
        <v>0</v>
      </c>
      <c r="Q669" s="101">
        <v>0</v>
      </c>
      <c r="U669" s="60" t="e">
        <v>#N/A</v>
      </c>
      <c r="AC669" s="54"/>
      <c r="AG669" s="62" t="str">
        <f t="shared" si="192"/>
        <v>Hide Row</v>
      </c>
    </row>
    <row r="670" spans="1:33">
      <c r="E670" s="151"/>
      <c r="F670" s="151"/>
      <c r="G670" s="151"/>
      <c r="H670" s="151"/>
      <c r="I670" s="151"/>
      <c r="J670" s="151"/>
      <c r="K670" s="151"/>
      <c r="L670" s="151"/>
      <c r="M670" s="151"/>
      <c r="N670" s="151"/>
      <c r="O670" s="151"/>
      <c r="P670" s="151"/>
      <c r="Q670" s="151"/>
      <c r="AC670" s="54"/>
    </row>
    <row r="671" spans="1:33" ht="15.75">
      <c r="A671" s="56" t="s">
        <v>569</v>
      </c>
      <c r="AC671" s="54"/>
    </row>
    <row r="672" spans="1:33">
      <c r="C672" s="52" t="s">
        <v>453</v>
      </c>
      <c r="E672" s="154">
        <f t="shared" ref="E672:Q681" si="194">IF(E572=0,0,(E643/E572))</f>
        <v>0</v>
      </c>
      <c r="F672" s="154">
        <f t="shared" si="194"/>
        <v>0</v>
      </c>
      <c r="G672" s="154">
        <f t="shared" si="194"/>
        <v>0</v>
      </c>
      <c r="H672" s="154">
        <f t="shared" si="194"/>
        <v>0</v>
      </c>
      <c r="I672" s="154">
        <f t="shared" si="194"/>
        <v>0</v>
      </c>
      <c r="J672" s="154">
        <f t="shared" si="194"/>
        <v>0</v>
      </c>
      <c r="K672" s="154">
        <f t="shared" si="194"/>
        <v>0</v>
      </c>
      <c r="L672" s="154">
        <f t="shared" si="194"/>
        <v>0</v>
      </c>
      <c r="M672" s="154">
        <f t="shared" si="194"/>
        <v>0</v>
      </c>
      <c r="N672" s="154">
        <f t="shared" si="194"/>
        <v>0</v>
      </c>
      <c r="O672" s="154">
        <f t="shared" si="194"/>
        <v>0</v>
      </c>
      <c r="P672" s="154">
        <f t="shared" si="194"/>
        <v>0</v>
      </c>
      <c r="Q672" s="154">
        <f t="shared" si="194"/>
        <v>0</v>
      </c>
      <c r="AC672" s="54"/>
      <c r="AG672" s="62" t="str">
        <f t="shared" ref="AG672:AG681" si="195">AG643</f>
        <v/>
      </c>
    </row>
    <row r="673" spans="3:33">
      <c r="C673" s="52" t="s">
        <v>106</v>
      </c>
      <c r="E673" s="154">
        <f t="shared" si="194"/>
        <v>0</v>
      </c>
      <c r="F673" s="154">
        <f t="shared" si="194"/>
        <v>0</v>
      </c>
      <c r="G673" s="154">
        <f t="shared" si="194"/>
        <v>0</v>
      </c>
      <c r="H673" s="154">
        <f t="shared" si="194"/>
        <v>0</v>
      </c>
      <c r="I673" s="154">
        <f t="shared" si="194"/>
        <v>0</v>
      </c>
      <c r="J673" s="154">
        <f t="shared" si="194"/>
        <v>0</v>
      </c>
      <c r="K673" s="154">
        <f t="shared" si="194"/>
        <v>0</v>
      </c>
      <c r="L673" s="154">
        <f t="shared" si="194"/>
        <v>0</v>
      </c>
      <c r="M673" s="154">
        <f t="shared" si="194"/>
        <v>0</v>
      </c>
      <c r="N673" s="154">
        <f t="shared" si="194"/>
        <v>0</v>
      </c>
      <c r="O673" s="154">
        <f t="shared" si="194"/>
        <v>0</v>
      </c>
      <c r="P673" s="154">
        <f t="shared" si="194"/>
        <v>0</v>
      </c>
      <c r="Q673" s="154">
        <f t="shared" si="194"/>
        <v>0</v>
      </c>
      <c r="AC673" s="54"/>
      <c r="AG673" s="62" t="str">
        <f t="shared" si="195"/>
        <v/>
      </c>
    </row>
    <row r="674" spans="3:33">
      <c r="C674" s="52" t="s">
        <v>454</v>
      </c>
      <c r="E674" s="154">
        <f t="shared" si="194"/>
        <v>10.51186852358232</v>
      </c>
      <c r="F674" s="154">
        <f t="shared" si="194"/>
        <v>10.51045315326645</v>
      </c>
      <c r="G674" s="154">
        <f t="shared" si="194"/>
        <v>10.515730039823058</v>
      </c>
      <c r="H674" s="154">
        <f t="shared" si="194"/>
        <v>10.528318859532348</v>
      </c>
      <c r="I674" s="154">
        <f t="shared" si="194"/>
        <v>10.510437812873004</v>
      </c>
      <c r="J674" s="154">
        <f t="shared" si="194"/>
        <v>10.510514572866018</v>
      </c>
      <c r="K674" s="154">
        <f t="shared" si="194"/>
        <v>10.510457157306581</v>
      </c>
      <c r="L674" s="154">
        <f t="shared" si="194"/>
        <v>10.510482997317785</v>
      </c>
      <c r="M674" s="154">
        <f t="shared" si="194"/>
        <v>10.510466585467586</v>
      </c>
      <c r="N674" s="154">
        <f t="shared" si="194"/>
        <v>10.510463539891074</v>
      </c>
      <c r="O674" s="154">
        <f t="shared" si="194"/>
        <v>10.510494129540195</v>
      </c>
      <c r="P674" s="154">
        <f t="shared" si="194"/>
        <v>10.510437527340676</v>
      </c>
      <c r="Q674" s="154">
        <f t="shared" si="194"/>
        <v>10.510443431673805</v>
      </c>
      <c r="AC674" s="54"/>
      <c r="AG674" s="62" t="str">
        <f t="shared" si="195"/>
        <v/>
      </c>
    </row>
    <row r="675" spans="3:33">
      <c r="C675" s="52" t="s">
        <v>455</v>
      </c>
      <c r="E675" s="154">
        <f t="shared" si="194"/>
        <v>0</v>
      </c>
      <c r="F675" s="154">
        <f t="shared" si="194"/>
        <v>0</v>
      </c>
      <c r="G675" s="154">
        <f t="shared" si="194"/>
        <v>0</v>
      </c>
      <c r="H675" s="154">
        <f t="shared" si="194"/>
        <v>0</v>
      </c>
      <c r="I675" s="154">
        <f t="shared" si="194"/>
        <v>0</v>
      </c>
      <c r="J675" s="154">
        <f t="shared" si="194"/>
        <v>0</v>
      </c>
      <c r="K675" s="154">
        <f t="shared" si="194"/>
        <v>0</v>
      </c>
      <c r="L675" s="154">
        <f t="shared" si="194"/>
        <v>0</v>
      </c>
      <c r="M675" s="154">
        <f t="shared" si="194"/>
        <v>0</v>
      </c>
      <c r="N675" s="154">
        <f t="shared" si="194"/>
        <v>0</v>
      </c>
      <c r="O675" s="154">
        <f t="shared" si="194"/>
        <v>0</v>
      </c>
      <c r="P675" s="154">
        <f t="shared" si="194"/>
        <v>0</v>
      </c>
      <c r="Q675" s="154">
        <f t="shared" si="194"/>
        <v>0</v>
      </c>
      <c r="AC675" s="54"/>
      <c r="AG675" s="62" t="str">
        <f t="shared" si="195"/>
        <v/>
      </c>
    </row>
    <row r="676" spans="3:33">
      <c r="C676" s="52" t="s">
        <v>456</v>
      </c>
      <c r="E676" s="154">
        <f t="shared" si="194"/>
        <v>0</v>
      </c>
      <c r="F676" s="154">
        <f t="shared" si="194"/>
        <v>0</v>
      </c>
      <c r="G676" s="154">
        <f t="shared" si="194"/>
        <v>0</v>
      </c>
      <c r="H676" s="154">
        <f t="shared" si="194"/>
        <v>0</v>
      </c>
      <c r="I676" s="154">
        <f t="shared" si="194"/>
        <v>0</v>
      </c>
      <c r="J676" s="154">
        <f t="shared" si="194"/>
        <v>0</v>
      </c>
      <c r="K676" s="154">
        <f t="shared" si="194"/>
        <v>0</v>
      </c>
      <c r="L676" s="154">
        <f t="shared" si="194"/>
        <v>0</v>
      </c>
      <c r="M676" s="154">
        <f t="shared" si="194"/>
        <v>0</v>
      </c>
      <c r="N676" s="154">
        <f t="shared" si="194"/>
        <v>0</v>
      </c>
      <c r="O676" s="154">
        <f t="shared" si="194"/>
        <v>0</v>
      </c>
      <c r="P676" s="154">
        <f t="shared" si="194"/>
        <v>0</v>
      </c>
      <c r="Q676" s="154">
        <f t="shared" si="194"/>
        <v>0</v>
      </c>
      <c r="AC676" s="54"/>
      <c r="AG676" s="62" t="str">
        <f t="shared" si="195"/>
        <v/>
      </c>
    </row>
    <row r="677" spans="3:33">
      <c r="C677" s="52" t="s">
        <v>457</v>
      </c>
      <c r="E677" s="154">
        <f t="shared" si="194"/>
        <v>0</v>
      </c>
      <c r="F677" s="154">
        <f t="shared" si="194"/>
        <v>0</v>
      </c>
      <c r="G677" s="154">
        <f t="shared" si="194"/>
        <v>0</v>
      </c>
      <c r="H677" s="154">
        <f t="shared" si="194"/>
        <v>0</v>
      </c>
      <c r="I677" s="154">
        <f t="shared" si="194"/>
        <v>0</v>
      </c>
      <c r="J677" s="154">
        <f t="shared" si="194"/>
        <v>0</v>
      </c>
      <c r="K677" s="154">
        <f t="shared" si="194"/>
        <v>0</v>
      </c>
      <c r="L677" s="154">
        <f t="shared" si="194"/>
        <v>0</v>
      </c>
      <c r="M677" s="154">
        <f t="shared" si="194"/>
        <v>0</v>
      </c>
      <c r="N677" s="154">
        <f t="shared" si="194"/>
        <v>0</v>
      </c>
      <c r="O677" s="154">
        <f t="shared" si="194"/>
        <v>0</v>
      </c>
      <c r="P677" s="154">
        <f t="shared" si="194"/>
        <v>0</v>
      </c>
      <c r="Q677" s="154">
        <f t="shared" si="194"/>
        <v>0</v>
      </c>
      <c r="AC677" s="54"/>
      <c r="AG677" s="62" t="str">
        <f t="shared" si="195"/>
        <v/>
      </c>
    </row>
    <row r="678" spans="3:33">
      <c r="C678" s="52" t="s">
        <v>458</v>
      </c>
      <c r="E678" s="154">
        <f t="shared" si="194"/>
        <v>0</v>
      </c>
      <c r="F678" s="154">
        <f t="shared" si="194"/>
        <v>0</v>
      </c>
      <c r="G678" s="154">
        <f t="shared" si="194"/>
        <v>0</v>
      </c>
      <c r="H678" s="154">
        <f t="shared" si="194"/>
        <v>0</v>
      </c>
      <c r="I678" s="154">
        <f t="shared" si="194"/>
        <v>0</v>
      </c>
      <c r="J678" s="154">
        <f t="shared" si="194"/>
        <v>0</v>
      </c>
      <c r="K678" s="154">
        <f t="shared" si="194"/>
        <v>0</v>
      </c>
      <c r="L678" s="154">
        <f t="shared" si="194"/>
        <v>0</v>
      </c>
      <c r="M678" s="154">
        <f t="shared" si="194"/>
        <v>0</v>
      </c>
      <c r="N678" s="154">
        <f t="shared" si="194"/>
        <v>0</v>
      </c>
      <c r="O678" s="154">
        <f t="shared" si="194"/>
        <v>0</v>
      </c>
      <c r="P678" s="154">
        <f t="shared" si="194"/>
        <v>0</v>
      </c>
      <c r="Q678" s="154">
        <f t="shared" si="194"/>
        <v>0</v>
      </c>
      <c r="AC678" s="54"/>
      <c r="AG678" s="62" t="str">
        <f t="shared" si="195"/>
        <v/>
      </c>
    </row>
    <row r="679" spans="3:33">
      <c r="C679" s="52" t="s">
        <v>459</v>
      </c>
      <c r="E679" s="154">
        <f t="shared" si="194"/>
        <v>0</v>
      </c>
      <c r="F679" s="154">
        <f t="shared" si="194"/>
        <v>0</v>
      </c>
      <c r="G679" s="154">
        <f t="shared" si="194"/>
        <v>0</v>
      </c>
      <c r="H679" s="154">
        <f t="shared" si="194"/>
        <v>0</v>
      </c>
      <c r="I679" s="154">
        <f t="shared" si="194"/>
        <v>0</v>
      </c>
      <c r="J679" s="154">
        <f t="shared" si="194"/>
        <v>0</v>
      </c>
      <c r="K679" s="154">
        <f t="shared" si="194"/>
        <v>0</v>
      </c>
      <c r="L679" s="154">
        <f t="shared" si="194"/>
        <v>0</v>
      </c>
      <c r="M679" s="154">
        <f t="shared" si="194"/>
        <v>0</v>
      </c>
      <c r="N679" s="154">
        <f t="shared" si="194"/>
        <v>0</v>
      </c>
      <c r="O679" s="154">
        <f t="shared" si="194"/>
        <v>0</v>
      </c>
      <c r="P679" s="154">
        <f t="shared" si="194"/>
        <v>0</v>
      </c>
      <c r="Q679" s="154">
        <f t="shared" si="194"/>
        <v>0</v>
      </c>
      <c r="AC679" s="54"/>
      <c r="AG679" s="62" t="str">
        <f t="shared" si="195"/>
        <v/>
      </c>
    </row>
    <row r="680" spans="3:33">
      <c r="C680" s="52" t="s">
        <v>119</v>
      </c>
      <c r="E680" s="154">
        <f t="shared" si="194"/>
        <v>10.201459462767783</v>
      </c>
      <c r="F680" s="154">
        <f t="shared" si="194"/>
        <v>10.172654574945444</v>
      </c>
      <c r="G680" s="154">
        <f t="shared" si="194"/>
        <v>10.268922901043515</v>
      </c>
      <c r="H680" s="154">
        <f t="shared" si="194"/>
        <v>10.29869482757166</v>
      </c>
      <c r="I680" s="154">
        <f t="shared" si="194"/>
        <v>10.167343941295568</v>
      </c>
      <c r="J680" s="154">
        <f t="shared" si="194"/>
        <v>10.183926609999963</v>
      </c>
      <c r="K680" s="154">
        <f t="shared" si="194"/>
        <v>10.190003369392532</v>
      </c>
      <c r="L680" s="154">
        <f t="shared" si="194"/>
        <v>10.177272025549863</v>
      </c>
      <c r="M680" s="154">
        <f t="shared" si="194"/>
        <v>10.171612374520311</v>
      </c>
      <c r="N680" s="154">
        <f t="shared" si="194"/>
        <v>10.191928533024104</v>
      </c>
      <c r="O680" s="154">
        <f t="shared" si="194"/>
        <v>10.223876174123539</v>
      </c>
      <c r="P680" s="154">
        <f t="shared" si="194"/>
        <v>10.190511474448012</v>
      </c>
      <c r="Q680" s="154">
        <f t="shared" si="194"/>
        <v>10.215018288960222</v>
      </c>
      <c r="AC680" s="54"/>
      <c r="AG680" s="62" t="str">
        <f t="shared" si="195"/>
        <v/>
      </c>
    </row>
    <row r="681" spans="3:33">
      <c r="C681" s="52" t="s">
        <v>460</v>
      </c>
      <c r="E681" s="154">
        <f t="shared" si="194"/>
        <v>0</v>
      </c>
      <c r="F681" s="154">
        <f t="shared" si="194"/>
        <v>0</v>
      </c>
      <c r="G681" s="154">
        <f t="shared" si="194"/>
        <v>0</v>
      </c>
      <c r="H681" s="154">
        <f t="shared" si="194"/>
        <v>0</v>
      </c>
      <c r="I681" s="154">
        <f t="shared" si="194"/>
        <v>0</v>
      </c>
      <c r="J681" s="154">
        <f t="shared" si="194"/>
        <v>0</v>
      </c>
      <c r="K681" s="154">
        <f t="shared" si="194"/>
        <v>0</v>
      </c>
      <c r="L681" s="154">
        <f t="shared" si="194"/>
        <v>0</v>
      </c>
      <c r="M681" s="154">
        <f t="shared" si="194"/>
        <v>0</v>
      </c>
      <c r="N681" s="154">
        <f t="shared" si="194"/>
        <v>0</v>
      </c>
      <c r="O681" s="154">
        <f t="shared" si="194"/>
        <v>0</v>
      </c>
      <c r="P681" s="154">
        <f t="shared" si="194"/>
        <v>0</v>
      </c>
      <c r="Q681" s="154">
        <f t="shared" si="194"/>
        <v>0</v>
      </c>
      <c r="AC681" s="54"/>
      <c r="AG681" s="62" t="str">
        <f t="shared" si="195"/>
        <v/>
      </c>
    </row>
    <row r="682" spans="3:33" hidden="1">
      <c r="E682" s="154"/>
      <c r="F682" s="154"/>
      <c r="G682" s="154"/>
      <c r="H682" s="154"/>
      <c r="I682" s="154"/>
      <c r="J682" s="154"/>
      <c r="K682" s="154"/>
      <c r="L682" s="154"/>
      <c r="M682" s="154"/>
      <c r="N682" s="154"/>
      <c r="O682" s="154"/>
      <c r="P682" s="154"/>
      <c r="Q682" s="154"/>
      <c r="AC682" s="54"/>
      <c r="AG682" s="62" t="str">
        <f>AG654</f>
        <v>Hide Row</v>
      </c>
    </row>
    <row r="683" spans="3:33">
      <c r="C683" s="52" t="s">
        <v>462</v>
      </c>
      <c r="E683" s="154">
        <f t="shared" ref="E683:Q683" si="196">IF(E584=0,0,(E655/E584))</f>
        <v>0</v>
      </c>
      <c r="F683" s="154">
        <f t="shared" si="196"/>
        <v>0</v>
      </c>
      <c r="G683" s="154">
        <f t="shared" si="196"/>
        <v>0</v>
      </c>
      <c r="H683" s="154">
        <f t="shared" si="196"/>
        <v>0</v>
      </c>
      <c r="I683" s="154">
        <f t="shared" si="196"/>
        <v>0</v>
      </c>
      <c r="J683" s="154">
        <f t="shared" si="196"/>
        <v>0</v>
      </c>
      <c r="K683" s="154">
        <f t="shared" si="196"/>
        <v>0</v>
      </c>
      <c r="L683" s="154">
        <f t="shared" si="196"/>
        <v>0</v>
      </c>
      <c r="M683" s="154">
        <f t="shared" si="196"/>
        <v>0</v>
      </c>
      <c r="N683" s="154">
        <f t="shared" si="196"/>
        <v>0</v>
      </c>
      <c r="O683" s="154">
        <f t="shared" si="196"/>
        <v>0</v>
      </c>
      <c r="P683" s="154">
        <f t="shared" si="196"/>
        <v>0</v>
      </c>
      <c r="Q683" s="154">
        <f t="shared" si="196"/>
        <v>0</v>
      </c>
      <c r="AC683" s="54"/>
      <c r="AG683" s="62" t="str">
        <f>AG655</f>
        <v/>
      </c>
    </row>
    <row r="684" spans="3:33" ht="13.5" customHeight="1">
      <c r="E684" s="154"/>
      <c r="F684" s="154"/>
      <c r="G684" s="154"/>
      <c r="H684" s="154"/>
      <c r="I684" s="154"/>
      <c r="J684" s="154"/>
      <c r="K684" s="154"/>
      <c r="L684" s="154"/>
      <c r="M684" s="154"/>
      <c r="N684" s="154"/>
      <c r="O684" s="154"/>
      <c r="P684" s="154"/>
      <c r="Q684" s="154"/>
      <c r="AC684" s="54"/>
    </row>
    <row r="685" spans="3:33">
      <c r="C685" s="52" t="s">
        <v>192</v>
      </c>
      <c r="E685" s="154">
        <f t="shared" ref="E685:Q685" si="197">IF(E415=0,0,(E657/E415))</f>
        <v>7.5525995672903843</v>
      </c>
      <c r="F685" s="154">
        <f t="shared" si="197"/>
        <v>7.56055074809482</v>
      </c>
      <c r="G685" s="154">
        <f t="shared" si="197"/>
        <v>7.6328748619985554</v>
      </c>
      <c r="H685" s="154">
        <f t="shared" si="197"/>
        <v>7.5880758658351342</v>
      </c>
      <c r="I685" s="154">
        <f t="shared" si="197"/>
        <v>7.4822295776062671</v>
      </c>
      <c r="J685" s="154">
        <f t="shared" si="197"/>
        <v>7.4983689692452939</v>
      </c>
      <c r="K685" s="154">
        <f t="shared" si="197"/>
        <v>7.5672882759963347</v>
      </c>
      <c r="L685" s="154">
        <f t="shared" si="197"/>
        <v>7.3970975617084687</v>
      </c>
      <c r="M685" s="154">
        <f t="shared" si="197"/>
        <v>7.6159235584237557</v>
      </c>
      <c r="N685" s="154">
        <f t="shared" si="197"/>
        <v>7.6039190164279917</v>
      </c>
      <c r="O685" s="154">
        <f t="shared" si="197"/>
        <v>7.6140286125335059</v>
      </c>
      <c r="P685" s="154">
        <f t="shared" si="197"/>
        <v>7.6075341715615448</v>
      </c>
      <c r="Q685" s="154">
        <f t="shared" si="197"/>
        <v>7.6109411996915002</v>
      </c>
      <c r="AC685" s="54"/>
      <c r="AG685" s="62">
        <f t="shared" ref="AG685:AG686" si="198">AG657</f>
        <v>0</v>
      </c>
    </row>
    <row r="686" spans="3:33">
      <c r="C686" s="52" t="s">
        <v>255</v>
      </c>
      <c r="E686" s="154">
        <f t="shared" ref="E686:Q686" si="199">IF(E437=0,0,(E658/E437))</f>
        <v>0</v>
      </c>
      <c r="F686" s="154">
        <f t="shared" si="199"/>
        <v>0</v>
      </c>
      <c r="G686" s="154">
        <f t="shared" si="199"/>
        <v>0</v>
      </c>
      <c r="H686" s="154">
        <f t="shared" si="199"/>
        <v>0</v>
      </c>
      <c r="I686" s="154">
        <f t="shared" si="199"/>
        <v>0</v>
      </c>
      <c r="J686" s="154">
        <f t="shared" si="199"/>
        <v>0</v>
      </c>
      <c r="K686" s="154">
        <f t="shared" si="199"/>
        <v>0</v>
      </c>
      <c r="L686" s="154">
        <f t="shared" si="199"/>
        <v>0</v>
      </c>
      <c r="M686" s="154">
        <f t="shared" si="199"/>
        <v>0</v>
      </c>
      <c r="N686" s="154">
        <f t="shared" si="199"/>
        <v>0</v>
      </c>
      <c r="O686" s="154">
        <f t="shared" si="199"/>
        <v>0</v>
      </c>
      <c r="P686" s="154">
        <f t="shared" si="199"/>
        <v>0</v>
      </c>
      <c r="Q686" s="154">
        <f t="shared" si="199"/>
        <v>0</v>
      </c>
      <c r="AC686" s="54"/>
      <c r="AG686" s="62">
        <f t="shared" si="198"/>
        <v>0</v>
      </c>
    </row>
    <row r="687" spans="3:33" ht="13.5" customHeight="1">
      <c r="E687" s="154"/>
      <c r="F687" s="154"/>
      <c r="G687" s="154"/>
      <c r="H687" s="154"/>
      <c r="I687" s="154"/>
      <c r="J687" s="154"/>
      <c r="K687" s="154"/>
      <c r="L687" s="154"/>
      <c r="M687" s="154"/>
      <c r="N687" s="154"/>
      <c r="O687" s="154"/>
      <c r="P687" s="154"/>
      <c r="Q687" s="154"/>
      <c r="AC687" s="54"/>
    </row>
    <row r="688" spans="3:33">
      <c r="C688" s="52" t="s">
        <v>116</v>
      </c>
      <c r="E688" s="154">
        <f t="shared" ref="E688:Q697" si="200">IF(E589=0,0,(E660/E589))</f>
        <v>7.8179967623109414</v>
      </c>
      <c r="F688" s="154">
        <f t="shared" si="200"/>
        <v>8.4138954637279699</v>
      </c>
      <c r="G688" s="154">
        <f t="shared" si="200"/>
        <v>0</v>
      </c>
      <c r="H688" s="154">
        <f t="shared" si="200"/>
        <v>0</v>
      </c>
      <c r="I688" s="154">
        <f t="shared" si="200"/>
        <v>7.5711093770859197</v>
      </c>
      <c r="J688" s="154">
        <f t="shared" si="200"/>
        <v>7.6274472366956987</v>
      </c>
      <c r="K688" s="154">
        <f t="shared" si="200"/>
        <v>7.6502690122051078</v>
      </c>
      <c r="L688" s="154">
        <f t="shared" si="200"/>
        <v>7.3310323781817939</v>
      </c>
      <c r="M688" s="154">
        <f t="shared" si="200"/>
        <v>7.8460663958696051</v>
      </c>
      <c r="N688" s="154">
        <f t="shared" si="200"/>
        <v>8.2852407182840473</v>
      </c>
      <c r="O688" s="154">
        <f t="shared" si="200"/>
        <v>8.4472786067839856</v>
      </c>
      <c r="P688" s="154">
        <f t="shared" si="200"/>
        <v>8.1145588758614871</v>
      </c>
      <c r="Q688" s="154">
        <f t="shared" si="200"/>
        <v>8.5078678458563246</v>
      </c>
      <c r="AC688" s="54"/>
      <c r="AG688" s="62" t="str">
        <f t="shared" ref="AG688:AG697" si="201">AG660</f>
        <v/>
      </c>
    </row>
    <row r="689" spans="1:33">
      <c r="C689" s="52" t="s">
        <v>466</v>
      </c>
      <c r="E689" s="154">
        <f t="shared" si="200"/>
        <v>0</v>
      </c>
      <c r="F689" s="154">
        <f t="shared" si="200"/>
        <v>0</v>
      </c>
      <c r="G689" s="154">
        <f t="shared" si="200"/>
        <v>0</v>
      </c>
      <c r="H689" s="154">
        <f t="shared" si="200"/>
        <v>0</v>
      </c>
      <c r="I689" s="154">
        <f t="shared" si="200"/>
        <v>0</v>
      </c>
      <c r="J689" s="154">
        <f t="shared" si="200"/>
        <v>0</v>
      </c>
      <c r="K689" s="154">
        <f t="shared" si="200"/>
        <v>0</v>
      </c>
      <c r="L689" s="154">
        <f t="shared" si="200"/>
        <v>0</v>
      </c>
      <c r="M689" s="154">
        <f t="shared" si="200"/>
        <v>0</v>
      </c>
      <c r="N689" s="154">
        <f t="shared" si="200"/>
        <v>0</v>
      </c>
      <c r="O689" s="154">
        <f t="shared" si="200"/>
        <v>0</v>
      </c>
      <c r="P689" s="154">
        <f t="shared" si="200"/>
        <v>0</v>
      </c>
      <c r="Q689" s="154">
        <f t="shared" si="200"/>
        <v>0</v>
      </c>
      <c r="AC689" s="54"/>
      <c r="AG689" s="62" t="str">
        <f t="shared" si="201"/>
        <v>Hide Row</v>
      </c>
    </row>
    <row r="690" spans="1:33">
      <c r="C690" s="52" t="s">
        <v>467</v>
      </c>
      <c r="E690" s="154">
        <f t="shared" si="200"/>
        <v>0</v>
      </c>
      <c r="F690" s="154">
        <f t="shared" si="200"/>
        <v>0</v>
      </c>
      <c r="G690" s="154">
        <f t="shared" si="200"/>
        <v>0</v>
      </c>
      <c r="H690" s="154">
        <f t="shared" si="200"/>
        <v>0</v>
      </c>
      <c r="I690" s="154">
        <f t="shared" si="200"/>
        <v>0</v>
      </c>
      <c r="J690" s="154">
        <f t="shared" si="200"/>
        <v>0</v>
      </c>
      <c r="K690" s="154">
        <f t="shared" si="200"/>
        <v>0</v>
      </c>
      <c r="L690" s="154">
        <f t="shared" si="200"/>
        <v>0</v>
      </c>
      <c r="M690" s="154">
        <f t="shared" si="200"/>
        <v>0</v>
      </c>
      <c r="N690" s="154">
        <f t="shared" si="200"/>
        <v>0</v>
      </c>
      <c r="O690" s="154">
        <f t="shared" si="200"/>
        <v>0</v>
      </c>
      <c r="P690" s="154">
        <f t="shared" si="200"/>
        <v>0</v>
      </c>
      <c r="Q690" s="154">
        <f t="shared" si="200"/>
        <v>0</v>
      </c>
      <c r="AC690" s="54"/>
      <c r="AG690" s="62" t="str">
        <f t="shared" si="201"/>
        <v>Hide Row</v>
      </c>
    </row>
    <row r="691" spans="1:33">
      <c r="C691" s="52" t="s">
        <v>469</v>
      </c>
      <c r="E691" s="154">
        <f t="shared" si="200"/>
        <v>0</v>
      </c>
      <c r="F691" s="154">
        <f t="shared" si="200"/>
        <v>0</v>
      </c>
      <c r="G691" s="154">
        <f t="shared" si="200"/>
        <v>0</v>
      </c>
      <c r="H691" s="154">
        <f t="shared" si="200"/>
        <v>0</v>
      </c>
      <c r="I691" s="154">
        <f t="shared" si="200"/>
        <v>0</v>
      </c>
      <c r="J691" s="154">
        <f t="shared" si="200"/>
        <v>0</v>
      </c>
      <c r="K691" s="154">
        <f t="shared" si="200"/>
        <v>0</v>
      </c>
      <c r="L691" s="154">
        <f t="shared" si="200"/>
        <v>0</v>
      </c>
      <c r="M691" s="154">
        <f t="shared" si="200"/>
        <v>0</v>
      </c>
      <c r="N691" s="154">
        <f t="shared" si="200"/>
        <v>0</v>
      </c>
      <c r="O691" s="154">
        <f t="shared" si="200"/>
        <v>0</v>
      </c>
      <c r="P691" s="154">
        <f t="shared" si="200"/>
        <v>0</v>
      </c>
      <c r="Q691" s="154">
        <f t="shared" si="200"/>
        <v>0</v>
      </c>
      <c r="AC691" s="54"/>
      <c r="AG691" s="62" t="str">
        <f t="shared" si="201"/>
        <v>Hide Row</v>
      </c>
    </row>
    <row r="692" spans="1:33">
      <c r="C692" s="52" t="s">
        <v>470</v>
      </c>
      <c r="E692" s="154">
        <f t="shared" si="200"/>
        <v>7.5525995672903843</v>
      </c>
      <c r="F692" s="154">
        <f t="shared" si="200"/>
        <v>7.56055074809482</v>
      </c>
      <c r="G692" s="154">
        <f t="shared" si="200"/>
        <v>7.6328748619985554</v>
      </c>
      <c r="H692" s="154">
        <f t="shared" si="200"/>
        <v>7.5880758658351342</v>
      </c>
      <c r="I692" s="154">
        <f t="shared" si="200"/>
        <v>7.4822295776062671</v>
      </c>
      <c r="J692" s="154">
        <f t="shared" si="200"/>
        <v>7.4983689692452939</v>
      </c>
      <c r="K692" s="154">
        <f t="shared" si="200"/>
        <v>7.5672882759963347</v>
      </c>
      <c r="L692" s="154">
        <f t="shared" si="200"/>
        <v>7.3970975617084687</v>
      </c>
      <c r="M692" s="154">
        <f t="shared" si="200"/>
        <v>7.6159235584237557</v>
      </c>
      <c r="N692" s="154">
        <f t="shared" si="200"/>
        <v>7.6039190164279917</v>
      </c>
      <c r="O692" s="154">
        <f t="shared" si="200"/>
        <v>7.6140286125335059</v>
      </c>
      <c r="P692" s="154">
        <f t="shared" si="200"/>
        <v>7.6075341715615448</v>
      </c>
      <c r="Q692" s="154">
        <f t="shared" si="200"/>
        <v>7.6109411996915002</v>
      </c>
      <c r="AC692" s="54"/>
      <c r="AG692" s="62" t="str">
        <f t="shared" si="201"/>
        <v/>
      </c>
    </row>
    <row r="693" spans="1:33">
      <c r="C693" s="52" t="s">
        <v>472</v>
      </c>
      <c r="E693" s="154">
        <f t="shared" si="200"/>
        <v>0</v>
      </c>
      <c r="F693" s="154">
        <f t="shared" si="200"/>
        <v>0</v>
      </c>
      <c r="G693" s="154">
        <f t="shared" si="200"/>
        <v>0</v>
      </c>
      <c r="H693" s="154">
        <f t="shared" si="200"/>
        <v>0</v>
      </c>
      <c r="I693" s="154">
        <f t="shared" si="200"/>
        <v>0</v>
      </c>
      <c r="J693" s="154">
        <f t="shared" si="200"/>
        <v>0</v>
      </c>
      <c r="K693" s="154">
        <f t="shared" si="200"/>
        <v>0</v>
      </c>
      <c r="L693" s="154">
        <f t="shared" si="200"/>
        <v>0</v>
      </c>
      <c r="M693" s="154">
        <f t="shared" si="200"/>
        <v>0</v>
      </c>
      <c r="N693" s="154">
        <f t="shared" si="200"/>
        <v>0</v>
      </c>
      <c r="O693" s="154">
        <f t="shared" si="200"/>
        <v>0</v>
      </c>
      <c r="P693" s="154">
        <f t="shared" si="200"/>
        <v>0</v>
      </c>
      <c r="Q693" s="154">
        <f t="shared" si="200"/>
        <v>0</v>
      </c>
      <c r="AC693" s="54"/>
      <c r="AG693" s="62" t="str">
        <f t="shared" si="201"/>
        <v>Hide Row</v>
      </c>
    </row>
    <row r="694" spans="1:33">
      <c r="C694" s="52" t="s">
        <v>644</v>
      </c>
      <c r="E694" s="154">
        <f t="shared" si="200"/>
        <v>0</v>
      </c>
      <c r="F694" s="154">
        <f t="shared" si="200"/>
        <v>0</v>
      </c>
      <c r="G694" s="154">
        <f t="shared" si="200"/>
        <v>0</v>
      </c>
      <c r="H694" s="154">
        <f t="shared" si="200"/>
        <v>0</v>
      </c>
      <c r="I694" s="154">
        <f t="shared" si="200"/>
        <v>0</v>
      </c>
      <c r="J694" s="154">
        <f t="shared" si="200"/>
        <v>0</v>
      </c>
      <c r="K694" s="154">
        <f t="shared" si="200"/>
        <v>0</v>
      </c>
      <c r="L694" s="154">
        <f t="shared" si="200"/>
        <v>0</v>
      </c>
      <c r="M694" s="154">
        <f t="shared" si="200"/>
        <v>0</v>
      </c>
      <c r="N694" s="154">
        <f t="shared" si="200"/>
        <v>0</v>
      </c>
      <c r="O694" s="154">
        <f t="shared" si="200"/>
        <v>0</v>
      </c>
      <c r="P694" s="154">
        <f t="shared" si="200"/>
        <v>0</v>
      </c>
      <c r="Q694" s="154">
        <f t="shared" si="200"/>
        <v>0</v>
      </c>
      <c r="AC694" s="54"/>
      <c r="AG694" s="62" t="str">
        <f t="shared" si="201"/>
        <v>Hide Row</v>
      </c>
    </row>
    <row r="695" spans="1:33">
      <c r="C695" s="52" t="s">
        <v>473</v>
      </c>
      <c r="E695" s="154">
        <f t="shared" si="200"/>
        <v>0</v>
      </c>
      <c r="F695" s="154">
        <f t="shared" si="200"/>
        <v>0</v>
      </c>
      <c r="G695" s="154">
        <f t="shared" si="200"/>
        <v>0</v>
      </c>
      <c r="H695" s="154">
        <f t="shared" si="200"/>
        <v>0</v>
      </c>
      <c r="I695" s="154">
        <f t="shared" si="200"/>
        <v>0</v>
      </c>
      <c r="J695" s="154">
        <f t="shared" si="200"/>
        <v>0</v>
      </c>
      <c r="K695" s="154">
        <f t="shared" si="200"/>
        <v>0</v>
      </c>
      <c r="L695" s="154">
        <f t="shared" si="200"/>
        <v>0</v>
      </c>
      <c r="M695" s="154">
        <f t="shared" si="200"/>
        <v>0</v>
      </c>
      <c r="N695" s="154">
        <f t="shared" si="200"/>
        <v>0</v>
      </c>
      <c r="O695" s="154">
        <f t="shared" si="200"/>
        <v>0</v>
      </c>
      <c r="P695" s="154">
        <f t="shared" si="200"/>
        <v>0</v>
      </c>
      <c r="Q695" s="154">
        <f t="shared" si="200"/>
        <v>0</v>
      </c>
      <c r="AC695" s="54"/>
      <c r="AG695" s="62" t="str">
        <f t="shared" si="201"/>
        <v>Hide Row</v>
      </c>
    </row>
    <row r="696" spans="1:33">
      <c r="C696" s="52" t="s">
        <v>474</v>
      </c>
      <c r="E696" s="154">
        <f t="shared" si="200"/>
        <v>0</v>
      </c>
      <c r="F696" s="154">
        <f t="shared" si="200"/>
        <v>0</v>
      </c>
      <c r="G696" s="154">
        <f t="shared" si="200"/>
        <v>0</v>
      </c>
      <c r="H696" s="154">
        <f t="shared" si="200"/>
        <v>0</v>
      </c>
      <c r="I696" s="154">
        <f t="shared" si="200"/>
        <v>0</v>
      </c>
      <c r="J696" s="154">
        <f t="shared" si="200"/>
        <v>0</v>
      </c>
      <c r="K696" s="154">
        <f t="shared" si="200"/>
        <v>0</v>
      </c>
      <c r="L696" s="154">
        <f t="shared" si="200"/>
        <v>0</v>
      </c>
      <c r="M696" s="154">
        <f t="shared" si="200"/>
        <v>0</v>
      </c>
      <c r="N696" s="154">
        <f t="shared" si="200"/>
        <v>0</v>
      </c>
      <c r="O696" s="154">
        <f t="shared" si="200"/>
        <v>0</v>
      </c>
      <c r="P696" s="154">
        <f t="shared" si="200"/>
        <v>0</v>
      </c>
      <c r="Q696" s="154">
        <f t="shared" si="200"/>
        <v>0</v>
      </c>
      <c r="AC696" s="54"/>
      <c r="AG696" s="62" t="str">
        <f t="shared" si="201"/>
        <v>Hide Row</v>
      </c>
    </row>
    <row r="697" spans="1:33" hidden="1">
      <c r="C697" s="52" t="s">
        <v>475</v>
      </c>
      <c r="E697" s="154">
        <f t="shared" si="200"/>
        <v>0</v>
      </c>
      <c r="F697" s="154">
        <f t="shared" si="200"/>
        <v>0</v>
      </c>
      <c r="G697" s="154">
        <f t="shared" si="200"/>
        <v>0</v>
      </c>
      <c r="H697" s="154">
        <f t="shared" si="200"/>
        <v>0</v>
      </c>
      <c r="I697" s="154">
        <f t="shared" si="200"/>
        <v>0</v>
      </c>
      <c r="J697" s="154">
        <f t="shared" si="200"/>
        <v>0</v>
      </c>
      <c r="K697" s="154">
        <f t="shared" si="200"/>
        <v>0</v>
      </c>
      <c r="L697" s="154">
        <f t="shared" si="200"/>
        <v>0</v>
      </c>
      <c r="M697" s="154">
        <f t="shared" si="200"/>
        <v>0</v>
      </c>
      <c r="N697" s="154">
        <f t="shared" si="200"/>
        <v>0</v>
      </c>
      <c r="O697" s="154">
        <f t="shared" si="200"/>
        <v>0</v>
      </c>
      <c r="P697" s="154">
        <f t="shared" si="200"/>
        <v>0</v>
      </c>
      <c r="Q697" s="154">
        <f t="shared" si="200"/>
        <v>0</v>
      </c>
      <c r="AC697" s="54"/>
      <c r="AG697" s="62" t="str">
        <f t="shared" si="201"/>
        <v>Hide Row</v>
      </c>
    </row>
    <row r="698" spans="1:33">
      <c r="E698" s="155"/>
      <c r="F698" s="155"/>
      <c r="G698" s="155"/>
      <c r="H698" s="155"/>
      <c r="I698" s="155"/>
      <c r="J698" s="155"/>
      <c r="K698" s="155"/>
      <c r="L698" s="155"/>
      <c r="M698" s="155"/>
      <c r="N698" s="155"/>
      <c r="O698" s="155"/>
      <c r="P698" s="155"/>
      <c r="Q698" s="155"/>
      <c r="AC698" s="54"/>
    </row>
    <row r="699" spans="1:33" ht="15.75">
      <c r="A699" s="56" t="s">
        <v>570</v>
      </c>
      <c r="E699" s="155"/>
      <c r="F699" s="155"/>
      <c r="G699" s="155"/>
      <c r="H699" s="155"/>
      <c r="I699" s="155"/>
      <c r="J699" s="155"/>
      <c r="K699" s="155"/>
      <c r="L699" s="155"/>
      <c r="M699" s="155"/>
      <c r="N699" s="155"/>
      <c r="O699" s="155"/>
      <c r="P699" s="155"/>
      <c r="Q699" s="155"/>
      <c r="U699" s="41" t="s">
        <v>571</v>
      </c>
      <c r="AC699" s="54"/>
    </row>
    <row r="700" spans="1:33">
      <c r="C700" s="52" t="s">
        <v>453</v>
      </c>
      <c r="E700" s="154">
        <f>IF(ISNUMBER($U700),AVERAGE(F700:Q700),0)</f>
        <v>0</v>
      </c>
      <c r="F700" s="154">
        <v>0</v>
      </c>
      <c r="G700" s="154">
        <v>0</v>
      </c>
      <c r="H700" s="154">
        <v>0</v>
      </c>
      <c r="I700" s="154">
        <v>0</v>
      </c>
      <c r="J700" s="154">
        <v>0</v>
      </c>
      <c r="K700" s="154">
        <v>0</v>
      </c>
      <c r="L700" s="154">
        <v>0</v>
      </c>
      <c r="M700" s="154">
        <v>0</v>
      </c>
      <c r="N700" s="154">
        <v>0</v>
      </c>
      <c r="O700" s="154">
        <v>0</v>
      </c>
      <c r="P700" s="154">
        <v>0</v>
      </c>
      <c r="Q700" s="154">
        <v>0</v>
      </c>
      <c r="U700" s="60" t="e">
        <v>#N/A</v>
      </c>
      <c r="V700" s="51" t="str">
        <f t="shared" ref="V700:V709" si="202">V250</f>
        <v>Carbon</v>
      </c>
      <c r="AC700" s="54"/>
      <c r="AG700" s="62" t="str">
        <f t="shared" ref="AG700:AG711" si="203">AG672</f>
        <v/>
      </c>
    </row>
    <row r="701" spans="1:33">
      <c r="C701" s="52" t="s">
        <v>106</v>
      </c>
      <c r="E701" s="154">
        <f t="shared" ref="E701:E711" si="204">IF(ISNUMBER($U701),AVERAGE(F701:Q701),0)</f>
        <v>0</v>
      </c>
      <c r="F701" s="154">
        <v>0</v>
      </c>
      <c r="G701" s="154">
        <v>0</v>
      </c>
      <c r="H701" s="154">
        <v>0</v>
      </c>
      <c r="I701" s="154">
        <v>0</v>
      </c>
      <c r="J701" s="154">
        <v>0</v>
      </c>
      <c r="K701" s="154">
        <v>0</v>
      </c>
      <c r="L701" s="154">
        <v>0</v>
      </c>
      <c r="M701" s="154">
        <v>0</v>
      </c>
      <c r="N701" s="154">
        <v>0</v>
      </c>
      <c r="O701" s="154">
        <v>0</v>
      </c>
      <c r="P701" s="154">
        <v>0</v>
      </c>
      <c r="Q701" s="154">
        <v>0</v>
      </c>
      <c r="U701" s="60" t="e">
        <v>#N/A</v>
      </c>
      <c r="V701" s="51" t="str">
        <f t="shared" si="202"/>
        <v>Cholla</v>
      </c>
      <c r="AC701" s="54"/>
      <c r="AG701" s="62" t="str">
        <f t="shared" si="203"/>
        <v/>
      </c>
    </row>
    <row r="702" spans="1:33">
      <c r="C702" s="52" t="s">
        <v>454</v>
      </c>
      <c r="E702" s="154">
        <f t="shared" si="204"/>
        <v>1.3662351000000001</v>
      </c>
      <c r="F702" s="154">
        <v>1.3662350999999999</v>
      </c>
      <c r="G702" s="154">
        <v>1.3662350999999999</v>
      </c>
      <c r="H702" s="154">
        <v>1.3662350999999999</v>
      </c>
      <c r="I702" s="154">
        <v>1.3662350999999999</v>
      </c>
      <c r="J702" s="154">
        <v>1.3662350999999999</v>
      </c>
      <c r="K702" s="154">
        <v>1.3662350999999999</v>
      </c>
      <c r="L702" s="154">
        <v>1.3662350999999999</v>
      </c>
      <c r="M702" s="154">
        <v>1.3662350999999999</v>
      </c>
      <c r="N702" s="154">
        <v>1.3662350999999999</v>
      </c>
      <c r="O702" s="154">
        <v>1.3662350999999999</v>
      </c>
      <c r="P702" s="154">
        <v>1.3662350999999999</v>
      </c>
      <c r="Q702" s="154">
        <v>1.3662350999999999</v>
      </c>
      <c r="U702" s="60">
        <v>2</v>
      </c>
      <c r="V702" s="51" t="str">
        <f t="shared" si="202"/>
        <v>Colstrip</v>
      </c>
      <c r="AC702" s="54"/>
      <c r="AG702" s="62" t="str">
        <f t="shared" si="203"/>
        <v/>
      </c>
    </row>
    <row r="703" spans="1:33">
      <c r="C703" s="52" t="s">
        <v>455</v>
      </c>
      <c r="E703" s="154">
        <f t="shared" si="204"/>
        <v>0</v>
      </c>
      <c r="F703" s="154">
        <v>0</v>
      </c>
      <c r="G703" s="154">
        <v>0</v>
      </c>
      <c r="H703" s="154">
        <v>0</v>
      </c>
      <c r="I703" s="154">
        <v>0</v>
      </c>
      <c r="J703" s="154">
        <v>0</v>
      </c>
      <c r="K703" s="154">
        <v>0</v>
      </c>
      <c r="L703" s="154">
        <v>0</v>
      </c>
      <c r="M703" s="154">
        <v>0</v>
      </c>
      <c r="N703" s="154">
        <v>0</v>
      </c>
      <c r="O703" s="154">
        <v>0</v>
      </c>
      <c r="P703" s="154">
        <v>0</v>
      </c>
      <c r="Q703" s="154">
        <v>0</v>
      </c>
      <c r="U703" s="60" t="e">
        <v>#N/A</v>
      </c>
      <c r="V703" s="51" t="str">
        <f t="shared" si="202"/>
        <v>Craig</v>
      </c>
      <c r="AC703" s="54"/>
      <c r="AG703" s="62" t="str">
        <f t="shared" si="203"/>
        <v/>
      </c>
    </row>
    <row r="704" spans="1:33">
      <c r="C704" s="52" t="s">
        <v>456</v>
      </c>
      <c r="E704" s="154">
        <f t="shared" si="204"/>
        <v>0</v>
      </c>
      <c r="F704" s="154">
        <v>0</v>
      </c>
      <c r="G704" s="154">
        <v>0</v>
      </c>
      <c r="H704" s="154">
        <v>0</v>
      </c>
      <c r="I704" s="154">
        <v>0</v>
      </c>
      <c r="J704" s="154">
        <v>0</v>
      </c>
      <c r="K704" s="154">
        <v>0</v>
      </c>
      <c r="L704" s="154">
        <v>0</v>
      </c>
      <c r="M704" s="154">
        <v>0</v>
      </c>
      <c r="N704" s="154">
        <v>0</v>
      </c>
      <c r="O704" s="154">
        <v>0</v>
      </c>
      <c r="P704" s="154">
        <v>0</v>
      </c>
      <c r="Q704" s="154">
        <v>0</v>
      </c>
      <c r="U704" s="60" t="e">
        <v>#N/A</v>
      </c>
      <c r="V704" s="51" t="str">
        <f t="shared" si="202"/>
        <v>Dave Johnston</v>
      </c>
      <c r="AC704" s="54"/>
      <c r="AG704" s="62" t="str">
        <f t="shared" si="203"/>
        <v/>
      </c>
    </row>
    <row r="705" spans="3:33">
      <c r="C705" s="52" t="s">
        <v>457</v>
      </c>
      <c r="E705" s="154">
        <f t="shared" si="204"/>
        <v>0</v>
      </c>
      <c r="F705" s="154">
        <v>0</v>
      </c>
      <c r="G705" s="154">
        <v>0</v>
      </c>
      <c r="H705" s="154">
        <v>0</v>
      </c>
      <c r="I705" s="154">
        <v>0</v>
      </c>
      <c r="J705" s="154">
        <v>0</v>
      </c>
      <c r="K705" s="154">
        <v>0</v>
      </c>
      <c r="L705" s="154">
        <v>0</v>
      </c>
      <c r="M705" s="154">
        <v>0</v>
      </c>
      <c r="N705" s="154">
        <v>0</v>
      </c>
      <c r="O705" s="154">
        <v>0</v>
      </c>
      <c r="P705" s="154">
        <v>0</v>
      </c>
      <c r="Q705" s="154">
        <v>0</v>
      </c>
      <c r="U705" s="60" t="e">
        <v>#N/A</v>
      </c>
      <c r="V705" s="51" t="str">
        <f t="shared" si="202"/>
        <v>Hayden</v>
      </c>
      <c r="AC705" s="54"/>
      <c r="AG705" s="62" t="str">
        <f t="shared" si="203"/>
        <v/>
      </c>
    </row>
    <row r="706" spans="3:33">
      <c r="C706" s="52" t="s">
        <v>458</v>
      </c>
      <c r="E706" s="154">
        <f t="shared" si="204"/>
        <v>0</v>
      </c>
      <c r="F706" s="154">
        <v>0</v>
      </c>
      <c r="G706" s="154">
        <v>0</v>
      </c>
      <c r="H706" s="154">
        <v>0</v>
      </c>
      <c r="I706" s="154">
        <v>0</v>
      </c>
      <c r="J706" s="154">
        <v>0</v>
      </c>
      <c r="K706" s="154">
        <v>0</v>
      </c>
      <c r="L706" s="154">
        <v>0</v>
      </c>
      <c r="M706" s="154">
        <v>0</v>
      </c>
      <c r="N706" s="154">
        <v>0</v>
      </c>
      <c r="O706" s="154">
        <v>0</v>
      </c>
      <c r="P706" s="154">
        <v>0</v>
      </c>
      <c r="Q706" s="154">
        <v>0</v>
      </c>
      <c r="U706" s="60" t="e">
        <v>#N/A</v>
      </c>
      <c r="V706" s="51" t="str">
        <f t="shared" si="202"/>
        <v>Hunter</v>
      </c>
      <c r="AC706" s="54"/>
      <c r="AG706" s="62" t="str">
        <f t="shared" si="203"/>
        <v/>
      </c>
    </row>
    <row r="707" spans="3:33">
      <c r="C707" s="52" t="s">
        <v>459</v>
      </c>
      <c r="E707" s="154">
        <f t="shared" si="204"/>
        <v>0</v>
      </c>
      <c r="F707" s="154">
        <v>0</v>
      </c>
      <c r="G707" s="154">
        <v>0</v>
      </c>
      <c r="H707" s="154">
        <v>0</v>
      </c>
      <c r="I707" s="154">
        <v>0</v>
      </c>
      <c r="J707" s="154">
        <v>0</v>
      </c>
      <c r="K707" s="154">
        <v>0</v>
      </c>
      <c r="L707" s="154">
        <v>0</v>
      </c>
      <c r="M707" s="154">
        <v>0</v>
      </c>
      <c r="N707" s="154">
        <v>0</v>
      </c>
      <c r="O707" s="154">
        <v>0</v>
      </c>
      <c r="P707" s="154">
        <v>0</v>
      </c>
      <c r="Q707" s="154">
        <v>0</v>
      </c>
      <c r="U707" s="60" t="e">
        <v>#N/A</v>
      </c>
      <c r="V707" s="51" t="str">
        <f t="shared" si="202"/>
        <v>Huntington</v>
      </c>
      <c r="AC707" s="54"/>
      <c r="AG707" s="62" t="str">
        <f t="shared" si="203"/>
        <v/>
      </c>
    </row>
    <row r="708" spans="3:33">
      <c r="C708" s="52" t="s">
        <v>119</v>
      </c>
      <c r="E708" s="154">
        <f t="shared" si="204"/>
        <v>2.35839</v>
      </c>
      <c r="F708" s="154">
        <v>2.35839</v>
      </c>
      <c r="G708" s="154">
        <v>2.35839</v>
      </c>
      <c r="H708" s="154">
        <v>2.35839</v>
      </c>
      <c r="I708" s="154">
        <v>2.35839</v>
      </c>
      <c r="J708" s="154">
        <v>2.35839</v>
      </c>
      <c r="K708" s="154">
        <v>2.35839</v>
      </c>
      <c r="L708" s="154">
        <v>2.35839</v>
      </c>
      <c r="M708" s="154">
        <v>2.35839</v>
      </c>
      <c r="N708" s="154">
        <v>2.35839</v>
      </c>
      <c r="O708" s="154">
        <v>2.35839</v>
      </c>
      <c r="P708" s="154">
        <v>2.35839</v>
      </c>
      <c r="Q708" s="154">
        <v>2.35839</v>
      </c>
      <c r="U708" s="60">
        <v>4</v>
      </c>
      <c r="V708" s="51" t="str">
        <f t="shared" si="202"/>
        <v>Jim Bridger</v>
      </c>
      <c r="AC708" s="54"/>
      <c r="AG708" s="62" t="str">
        <f t="shared" si="203"/>
        <v/>
      </c>
    </row>
    <row r="709" spans="3:33">
      <c r="C709" s="52" t="s">
        <v>460</v>
      </c>
      <c r="E709" s="154">
        <f t="shared" si="204"/>
        <v>0</v>
      </c>
      <c r="F709" s="154">
        <v>0</v>
      </c>
      <c r="G709" s="154">
        <v>0</v>
      </c>
      <c r="H709" s="154">
        <v>0</v>
      </c>
      <c r="I709" s="154">
        <v>0</v>
      </c>
      <c r="J709" s="154">
        <v>0</v>
      </c>
      <c r="K709" s="154">
        <v>0</v>
      </c>
      <c r="L709" s="154">
        <v>0</v>
      </c>
      <c r="M709" s="154">
        <v>0</v>
      </c>
      <c r="N709" s="154">
        <v>0</v>
      </c>
      <c r="O709" s="154">
        <v>0</v>
      </c>
      <c r="P709" s="154">
        <v>0</v>
      </c>
      <c r="Q709" s="154">
        <v>0</v>
      </c>
      <c r="U709" s="60" t="e">
        <v>#N/A</v>
      </c>
      <c r="V709" s="51" t="str">
        <f t="shared" si="202"/>
        <v>Naughton</v>
      </c>
      <c r="AC709" s="54"/>
      <c r="AG709" s="62" t="str">
        <f t="shared" si="203"/>
        <v/>
      </c>
    </row>
    <row r="710" spans="3:33" hidden="1">
      <c r="E710" s="154"/>
      <c r="F710" s="154"/>
      <c r="G710" s="154"/>
      <c r="H710" s="154"/>
      <c r="I710" s="154"/>
      <c r="J710" s="154"/>
      <c r="K710" s="154"/>
      <c r="L710" s="154"/>
      <c r="M710" s="154"/>
      <c r="N710" s="154"/>
      <c r="O710" s="154"/>
      <c r="P710" s="154"/>
      <c r="Q710" s="154"/>
      <c r="U710" s="60"/>
      <c r="AC710" s="54"/>
      <c r="AG710" s="62" t="str">
        <f t="shared" si="203"/>
        <v>Hide Row</v>
      </c>
    </row>
    <row r="711" spans="3:33">
      <c r="C711" s="52" t="s">
        <v>462</v>
      </c>
      <c r="E711" s="154">
        <f t="shared" si="204"/>
        <v>0</v>
      </c>
      <c r="F711" s="154">
        <v>0</v>
      </c>
      <c r="G711" s="154">
        <v>0</v>
      </c>
      <c r="H711" s="154">
        <v>0</v>
      </c>
      <c r="I711" s="154">
        <v>0</v>
      </c>
      <c r="J711" s="154">
        <v>0</v>
      </c>
      <c r="K711" s="154">
        <v>0</v>
      </c>
      <c r="L711" s="154">
        <v>0</v>
      </c>
      <c r="M711" s="154">
        <v>0</v>
      </c>
      <c r="N711" s="154">
        <v>0</v>
      </c>
      <c r="O711" s="154">
        <v>0</v>
      </c>
      <c r="P711" s="154">
        <v>0</v>
      </c>
      <c r="Q711" s="154">
        <v>0</v>
      </c>
      <c r="U711" s="60" t="e">
        <v>#N/A</v>
      </c>
      <c r="V711" s="51" t="str">
        <f>V262</f>
        <v>Wyodak</v>
      </c>
      <c r="AC711" s="54"/>
      <c r="AG711" s="62" t="str">
        <f t="shared" si="203"/>
        <v/>
      </c>
    </row>
    <row r="712" spans="3:33" ht="12.75" customHeight="1">
      <c r="E712" s="154"/>
      <c r="F712" s="154"/>
      <c r="G712" s="154"/>
      <c r="H712" s="154"/>
      <c r="I712" s="154"/>
      <c r="J712" s="154"/>
      <c r="K712" s="154"/>
      <c r="L712" s="154"/>
      <c r="M712" s="154"/>
      <c r="N712" s="154"/>
      <c r="O712" s="154"/>
      <c r="P712" s="154"/>
      <c r="Q712" s="154"/>
      <c r="AC712" s="54"/>
    </row>
    <row r="713" spans="3:33">
      <c r="C713" s="52" t="s">
        <v>192</v>
      </c>
      <c r="E713" s="154">
        <f t="shared" ref="E713:E714" si="205">IF(ISNUMBER($U713),AVERAGE(F713:Q713),0)</f>
        <v>3.9132583249999997</v>
      </c>
      <c r="F713" s="154">
        <v>3.6678000000000002</v>
      </c>
      <c r="G713" s="154">
        <v>3.6190000000000002</v>
      </c>
      <c r="H713" s="154">
        <v>3.6292998999999999</v>
      </c>
      <c r="I713" s="154">
        <v>3.6804000000000001</v>
      </c>
      <c r="J713" s="154">
        <v>3.6867000000000001</v>
      </c>
      <c r="K713" s="154">
        <v>3.8445</v>
      </c>
      <c r="L713" s="154">
        <v>3.8862000000000001</v>
      </c>
      <c r="M713" s="154">
        <v>4.05</v>
      </c>
      <c r="N713" s="154">
        <v>4.2192999999999996</v>
      </c>
      <c r="O713" s="154">
        <v>4.2634999999999996</v>
      </c>
      <c r="P713" s="154">
        <v>4.2407000000000004</v>
      </c>
      <c r="Q713" s="154">
        <v>4.1717000000000004</v>
      </c>
      <c r="U713" s="60">
        <v>3</v>
      </c>
      <c r="V713" s="64" t="str">
        <f>V593</f>
        <v>Hermiston Owned</v>
      </c>
      <c r="AC713" s="54"/>
      <c r="AG713" s="62">
        <f t="shared" ref="AG713:AG714" si="206">AG685</f>
        <v>0</v>
      </c>
    </row>
    <row r="714" spans="3:33">
      <c r="C714" s="52" t="s">
        <v>255</v>
      </c>
      <c r="E714" s="154">
        <f t="shared" si="205"/>
        <v>0</v>
      </c>
      <c r="F714" s="154">
        <v>0</v>
      </c>
      <c r="G714" s="154">
        <v>0</v>
      </c>
      <c r="H714" s="154">
        <v>0</v>
      </c>
      <c r="I714" s="154">
        <v>0</v>
      </c>
      <c r="J714" s="154">
        <v>0</v>
      </c>
      <c r="K714" s="154">
        <v>0</v>
      </c>
      <c r="L714" s="154">
        <v>0</v>
      </c>
      <c r="M714" s="154">
        <v>0</v>
      </c>
      <c r="N714" s="154">
        <v>0</v>
      </c>
      <c r="O714" s="154">
        <v>0</v>
      </c>
      <c r="P714" s="154">
        <v>0</v>
      </c>
      <c r="Q714" s="154">
        <v>0</v>
      </c>
      <c r="U714" s="60" t="e">
        <v>#N/A</v>
      </c>
      <c r="V714" s="51" t="str">
        <f>X107</f>
        <v>West Valley Toll</v>
      </c>
      <c r="AC714" s="54"/>
      <c r="AG714" s="62">
        <f t="shared" si="206"/>
        <v>0</v>
      </c>
    </row>
    <row r="715" spans="3:33" ht="12.75" customHeight="1">
      <c r="E715" s="154"/>
      <c r="F715" s="154"/>
      <c r="G715" s="154"/>
      <c r="H715" s="154"/>
      <c r="I715" s="154"/>
      <c r="J715" s="154"/>
      <c r="K715" s="154"/>
      <c r="L715" s="154"/>
      <c r="M715" s="154"/>
      <c r="N715" s="154"/>
      <c r="O715" s="154"/>
      <c r="P715" s="154"/>
      <c r="Q715" s="154"/>
      <c r="AC715" s="54"/>
    </row>
    <row r="716" spans="3:33">
      <c r="C716" s="52" t="s">
        <v>116</v>
      </c>
      <c r="E716" s="154">
        <f t="shared" ref="E716:E724" si="207">IF(ISNUMBER($U716),AVERAGE(F716:Q716),0)</f>
        <v>4.2068083500000002</v>
      </c>
      <c r="F716" s="154">
        <v>3.8696000000000002</v>
      </c>
      <c r="G716" s="154">
        <v>3.6699000000000002</v>
      </c>
      <c r="H716" s="154">
        <v>3.6545000000000001</v>
      </c>
      <c r="I716" s="154">
        <v>3.8271000000000002</v>
      </c>
      <c r="J716" s="154">
        <v>3.8504999</v>
      </c>
      <c r="K716" s="154">
        <v>3.9249003</v>
      </c>
      <c r="L716" s="154">
        <v>4.0227000000000004</v>
      </c>
      <c r="M716" s="154">
        <v>4.6390000000000002</v>
      </c>
      <c r="N716" s="154">
        <v>4.9768999999999997</v>
      </c>
      <c r="O716" s="154">
        <v>4.8727999999999998</v>
      </c>
      <c r="P716" s="154">
        <v>4.6304999999999996</v>
      </c>
      <c r="Q716" s="154">
        <v>4.5433000000000003</v>
      </c>
      <c r="U716" s="60">
        <v>1</v>
      </c>
      <c r="V716" s="51" t="str">
        <f>V267</f>
        <v>Chehalis</v>
      </c>
      <c r="AC716" s="54"/>
      <c r="AG716" s="62" t="str">
        <f t="shared" ref="AG716:AG725" si="208">AG688</f>
        <v/>
      </c>
    </row>
    <row r="717" spans="3:33">
      <c r="C717" s="52" t="s">
        <v>466</v>
      </c>
      <c r="E717" s="154">
        <f t="shared" si="207"/>
        <v>0</v>
      </c>
      <c r="F717" s="154">
        <v>0</v>
      </c>
      <c r="G717" s="154">
        <v>0</v>
      </c>
      <c r="H717" s="154">
        <v>0</v>
      </c>
      <c r="I717" s="154">
        <v>0</v>
      </c>
      <c r="J717" s="154">
        <v>0</v>
      </c>
      <c r="K717" s="154">
        <v>0</v>
      </c>
      <c r="L717" s="154">
        <v>0</v>
      </c>
      <c r="M717" s="154">
        <v>0</v>
      </c>
      <c r="N717" s="154">
        <v>0</v>
      </c>
      <c r="O717" s="154">
        <v>0</v>
      </c>
      <c r="P717" s="154">
        <v>0</v>
      </c>
      <c r="Q717" s="154">
        <v>0</v>
      </c>
      <c r="U717" s="60" t="e">
        <v>#N/A</v>
      </c>
      <c r="V717" s="51" t="str">
        <f>V268</f>
        <v>Currant Creek</v>
      </c>
      <c r="AC717" s="54"/>
      <c r="AG717" s="62" t="str">
        <f t="shared" si="208"/>
        <v>Hide Row</v>
      </c>
    </row>
    <row r="718" spans="3:33">
      <c r="C718" s="52" t="s">
        <v>467</v>
      </c>
      <c r="E718" s="154">
        <f t="shared" si="207"/>
        <v>0</v>
      </c>
      <c r="F718" s="154">
        <v>0</v>
      </c>
      <c r="G718" s="154">
        <v>0</v>
      </c>
      <c r="H718" s="154">
        <v>0</v>
      </c>
      <c r="I718" s="154">
        <v>0</v>
      </c>
      <c r="J718" s="154">
        <v>0</v>
      </c>
      <c r="K718" s="154">
        <v>0</v>
      </c>
      <c r="L718" s="154">
        <v>0</v>
      </c>
      <c r="M718" s="154">
        <v>0</v>
      </c>
      <c r="N718" s="154">
        <v>0</v>
      </c>
      <c r="O718" s="154">
        <v>0</v>
      </c>
      <c r="P718" s="154">
        <v>0</v>
      </c>
      <c r="Q718" s="154">
        <v>0</v>
      </c>
      <c r="U718" s="60" t="e">
        <v>#N/A</v>
      </c>
      <c r="V718" s="51" t="str">
        <f>V269</f>
        <v>Gadsby</v>
      </c>
      <c r="AC718" s="54"/>
      <c r="AG718" s="62" t="str">
        <f t="shared" si="208"/>
        <v>Hide Row</v>
      </c>
    </row>
    <row r="719" spans="3:33">
      <c r="C719" s="52" t="s">
        <v>469</v>
      </c>
      <c r="E719" s="154">
        <f t="shared" si="207"/>
        <v>0</v>
      </c>
      <c r="F719" s="154">
        <v>0</v>
      </c>
      <c r="G719" s="154">
        <v>0</v>
      </c>
      <c r="H719" s="154">
        <v>0</v>
      </c>
      <c r="I719" s="154">
        <v>0</v>
      </c>
      <c r="J719" s="154">
        <v>0</v>
      </c>
      <c r="K719" s="154">
        <v>0</v>
      </c>
      <c r="L719" s="154">
        <v>0</v>
      </c>
      <c r="M719" s="154">
        <v>0</v>
      </c>
      <c r="N719" s="154">
        <v>0</v>
      </c>
      <c r="O719" s="154">
        <v>0</v>
      </c>
      <c r="P719" s="154">
        <v>0</v>
      </c>
      <c r="Q719" s="154">
        <v>0</v>
      </c>
      <c r="U719" s="60" t="e">
        <v>#N/A</v>
      </c>
      <c r="V719" s="51" t="str">
        <f>V270</f>
        <v>Gadsby CT</v>
      </c>
      <c r="AC719" s="54"/>
      <c r="AG719" s="62" t="str">
        <f t="shared" si="208"/>
        <v>Hide Row</v>
      </c>
    </row>
    <row r="720" spans="3:33">
      <c r="C720" s="52" t="s">
        <v>470</v>
      </c>
      <c r="E720" s="154">
        <f t="shared" si="207"/>
        <v>3.9132583249999997</v>
      </c>
      <c r="F720" s="154">
        <v>3.6678000000000002</v>
      </c>
      <c r="G720" s="154">
        <v>3.6190000000000002</v>
      </c>
      <c r="H720" s="154">
        <v>3.6292998999999999</v>
      </c>
      <c r="I720" s="154">
        <v>3.6804000000000001</v>
      </c>
      <c r="J720" s="154">
        <v>3.6867000000000001</v>
      </c>
      <c r="K720" s="154">
        <v>3.8445</v>
      </c>
      <c r="L720" s="154">
        <v>3.8862000000000001</v>
      </c>
      <c r="M720" s="154">
        <v>4.05</v>
      </c>
      <c r="N720" s="154">
        <v>4.2192999999999996</v>
      </c>
      <c r="O720" s="154">
        <v>4.2634999999999996</v>
      </c>
      <c r="P720" s="154">
        <v>4.2407000000000004</v>
      </c>
      <c r="Q720" s="154">
        <v>4.1717000000000004</v>
      </c>
      <c r="U720" s="60">
        <v>3</v>
      </c>
      <c r="V720" s="64" t="str">
        <f>V593</f>
        <v>Hermiston Owned</v>
      </c>
      <c r="AC720" s="54"/>
      <c r="AG720" s="62" t="str">
        <f t="shared" si="208"/>
        <v/>
      </c>
    </row>
    <row r="721" spans="1:33">
      <c r="C721" s="52" t="s">
        <v>472</v>
      </c>
      <c r="E721" s="154">
        <f t="shared" si="207"/>
        <v>0</v>
      </c>
      <c r="F721" s="154">
        <v>0</v>
      </c>
      <c r="G721" s="154">
        <v>0</v>
      </c>
      <c r="H721" s="154">
        <v>0</v>
      </c>
      <c r="I721" s="154">
        <v>0</v>
      </c>
      <c r="J721" s="154">
        <v>0</v>
      </c>
      <c r="K721" s="154">
        <v>0</v>
      </c>
      <c r="L721" s="154">
        <v>0</v>
      </c>
      <c r="M721" s="154">
        <v>0</v>
      </c>
      <c r="N721" s="154">
        <v>0</v>
      </c>
      <c r="O721" s="154">
        <v>0</v>
      </c>
      <c r="P721" s="154">
        <v>0</v>
      </c>
      <c r="Q721" s="154">
        <v>0</v>
      </c>
      <c r="U721" s="60" t="e">
        <v>#N/A</v>
      </c>
      <c r="V721" s="51" t="str">
        <f>V272</f>
        <v>Lake Side 1</v>
      </c>
      <c r="AC721" s="54"/>
      <c r="AG721" s="62" t="str">
        <f t="shared" si="208"/>
        <v>Hide Row</v>
      </c>
    </row>
    <row r="722" spans="1:33">
      <c r="C722" s="52" t="s">
        <v>644</v>
      </c>
      <c r="E722" s="154">
        <f t="shared" si="207"/>
        <v>0</v>
      </c>
      <c r="F722" s="154">
        <v>0</v>
      </c>
      <c r="G722" s="154">
        <v>0</v>
      </c>
      <c r="H722" s="154">
        <v>0</v>
      </c>
      <c r="I722" s="154">
        <v>0</v>
      </c>
      <c r="J722" s="154">
        <v>0</v>
      </c>
      <c r="K722" s="154">
        <v>0</v>
      </c>
      <c r="L722" s="154">
        <v>0</v>
      </c>
      <c r="M722" s="154">
        <v>0</v>
      </c>
      <c r="N722" s="154">
        <v>0</v>
      </c>
      <c r="O722" s="154">
        <v>0</v>
      </c>
      <c r="P722" s="154">
        <v>0</v>
      </c>
      <c r="Q722" s="154">
        <v>0</v>
      </c>
      <c r="U722" s="60" t="e">
        <v>#N/A</v>
      </c>
      <c r="V722" s="51" t="str">
        <f>V273</f>
        <v>Lake Side II</v>
      </c>
      <c r="AC722" s="54"/>
      <c r="AG722" s="62" t="str">
        <f t="shared" si="208"/>
        <v>Hide Row</v>
      </c>
    </row>
    <row r="723" spans="1:33">
      <c r="C723" s="52" t="s">
        <v>473</v>
      </c>
      <c r="E723" s="154">
        <f t="shared" si="207"/>
        <v>0</v>
      </c>
      <c r="F723" s="154">
        <v>0</v>
      </c>
      <c r="G723" s="154">
        <v>0</v>
      </c>
      <c r="H723" s="154">
        <v>0</v>
      </c>
      <c r="I723" s="154">
        <v>0</v>
      </c>
      <c r="J723" s="154">
        <v>0</v>
      </c>
      <c r="K723" s="154">
        <v>0</v>
      </c>
      <c r="L723" s="154">
        <v>0</v>
      </c>
      <c r="M723" s="154">
        <v>0</v>
      </c>
      <c r="N723" s="154">
        <v>0</v>
      </c>
      <c r="O723" s="154">
        <v>0</v>
      </c>
      <c r="P723" s="154">
        <v>0</v>
      </c>
      <c r="Q723" s="154">
        <v>0</v>
      </c>
      <c r="U723" s="60" t="e">
        <v>#N/A</v>
      </c>
      <c r="V723" s="51" t="str">
        <f>V274</f>
        <v>Little Mountain</v>
      </c>
      <c r="AC723" s="54"/>
      <c r="AG723" s="62" t="str">
        <f t="shared" si="208"/>
        <v>Hide Row</v>
      </c>
    </row>
    <row r="724" spans="1:33">
      <c r="C724" s="52" t="s">
        <v>474</v>
      </c>
      <c r="E724" s="154">
        <f t="shared" si="207"/>
        <v>0</v>
      </c>
      <c r="F724" s="154">
        <v>0</v>
      </c>
      <c r="G724" s="154">
        <v>0</v>
      </c>
      <c r="H724" s="154">
        <v>0</v>
      </c>
      <c r="I724" s="154">
        <v>0</v>
      </c>
      <c r="J724" s="154">
        <v>0</v>
      </c>
      <c r="K724" s="154">
        <v>0</v>
      </c>
      <c r="L724" s="154">
        <v>0</v>
      </c>
      <c r="M724" s="154">
        <v>0</v>
      </c>
      <c r="N724" s="154">
        <v>0</v>
      </c>
      <c r="O724" s="154">
        <v>0</v>
      </c>
      <c r="P724" s="154">
        <v>0</v>
      </c>
      <c r="Q724" s="154">
        <v>0</v>
      </c>
      <c r="U724" s="60" t="e">
        <v>#N/A</v>
      </c>
      <c r="V724" s="51" t="str">
        <f>V275</f>
        <v>Naughton - Gas</v>
      </c>
      <c r="AC724" s="54"/>
      <c r="AG724" s="62" t="str">
        <f t="shared" si="208"/>
        <v>Hide Row</v>
      </c>
    </row>
    <row r="725" spans="1:33" hidden="1">
      <c r="C725" s="52" t="s">
        <v>475</v>
      </c>
      <c r="E725" s="154">
        <f>IF(ISNUMBER($U725),SUMIF(F725:Q725,"&gt;0")/COUNTIF(F725:Q725,"&gt;0"),0)</f>
        <v>0</v>
      </c>
      <c r="F725" s="154">
        <v>0</v>
      </c>
      <c r="G725" s="154">
        <v>0</v>
      </c>
      <c r="H725" s="154">
        <v>0</v>
      </c>
      <c r="I725" s="154">
        <v>0</v>
      </c>
      <c r="J725" s="154">
        <v>0</v>
      </c>
      <c r="K725" s="154">
        <v>0</v>
      </c>
      <c r="L725" s="154">
        <v>0</v>
      </c>
      <c r="M725" s="154">
        <v>0</v>
      </c>
      <c r="N725" s="154">
        <v>0</v>
      </c>
      <c r="O725" s="154">
        <v>0</v>
      </c>
      <c r="P725" s="154">
        <v>0</v>
      </c>
      <c r="Q725" s="154">
        <v>0</v>
      </c>
      <c r="U725" s="60" t="e">
        <v>#N/A</v>
      </c>
      <c r="V725" s="51">
        <f>V276</f>
        <v>0</v>
      </c>
      <c r="AC725" s="54"/>
      <c r="AG725" s="62" t="str">
        <f t="shared" si="208"/>
        <v>Hide Row</v>
      </c>
    </row>
    <row r="726" spans="1:33">
      <c r="E726" s="151"/>
      <c r="F726" s="151"/>
      <c r="G726" s="151"/>
      <c r="H726" s="151"/>
      <c r="I726" s="151"/>
      <c r="J726" s="151"/>
      <c r="K726" s="151"/>
      <c r="L726" s="151"/>
      <c r="M726" s="151"/>
      <c r="N726" s="151"/>
      <c r="O726" s="151"/>
      <c r="P726" s="151"/>
      <c r="Q726" s="151"/>
      <c r="AC726" s="54"/>
    </row>
    <row r="727" spans="1:33" ht="15.75">
      <c r="A727" s="56" t="s">
        <v>572</v>
      </c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AC727" s="54"/>
    </row>
    <row r="728" spans="1:33">
      <c r="C728" s="52" t="s">
        <v>494</v>
      </c>
      <c r="E728" s="101">
        <f>MAX(F728:Q728)</f>
        <v>23</v>
      </c>
      <c r="F728" s="101">
        <v>23</v>
      </c>
      <c r="G728" s="101">
        <v>23</v>
      </c>
      <c r="H728" s="101">
        <v>23</v>
      </c>
      <c r="I728" s="101">
        <v>23</v>
      </c>
      <c r="J728" s="101">
        <v>23</v>
      </c>
      <c r="K728" s="101">
        <v>23</v>
      </c>
      <c r="L728" s="101">
        <v>23</v>
      </c>
      <c r="M728" s="101">
        <v>23</v>
      </c>
      <c r="N728" s="101">
        <v>23</v>
      </c>
      <c r="O728" s="101">
        <v>23</v>
      </c>
      <c r="P728" s="101">
        <v>23</v>
      </c>
      <c r="Q728" s="101">
        <v>23</v>
      </c>
      <c r="U728" s="60" t="e">
        <v>#N/A</v>
      </c>
      <c r="V728" s="51" t="str">
        <f>V291</f>
        <v>Blundell</v>
      </c>
      <c r="Z728" s="63" t="s">
        <v>560</v>
      </c>
      <c r="AC728" s="54"/>
      <c r="AG728" s="62" t="str">
        <f>AG609</f>
        <v/>
      </c>
    </row>
    <row r="729" spans="1:33">
      <c r="C729" s="52" t="s">
        <v>561</v>
      </c>
      <c r="E729" s="101">
        <v>11</v>
      </c>
      <c r="F729" s="101">
        <v>-23</v>
      </c>
      <c r="G729" s="101">
        <v>-23</v>
      </c>
      <c r="H729" s="101">
        <v>-23</v>
      </c>
      <c r="I729" s="101">
        <v>-23</v>
      </c>
      <c r="J729" s="101">
        <v>-23</v>
      </c>
      <c r="K729" s="101">
        <v>-23</v>
      </c>
      <c r="L729" s="101">
        <v>-23</v>
      </c>
      <c r="M729" s="101">
        <v>-23</v>
      </c>
      <c r="N729" s="101">
        <v>-23</v>
      </c>
      <c r="O729" s="101">
        <v>-23</v>
      </c>
      <c r="P729" s="101">
        <v>-23</v>
      </c>
      <c r="Q729" s="101">
        <v>-23</v>
      </c>
      <c r="U729" s="60"/>
      <c r="Z729" s="63" t="s">
        <v>560</v>
      </c>
      <c r="AC729" s="54"/>
      <c r="AG729" s="62" t="str">
        <f>AG610</f>
        <v/>
      </c>
    </row>
    <row r="730" spans="1:33"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AC730" s="54"/>
    </row>
    <row r="731" spans="1:33">
      <c r="C731" s="52" t="s">
        <v>453</v>
      </c>
      <c r="E731" s="101">
        <f t="shared" ref="E731:E740" si="209">MAX(F731:Q731)</f>
        <v>0</v>
      </c>
      <c r="F731" s="101">
        <v>0</v>
      </c>
      <c r="G731" s="101">
        <v>0</v>
      </c>
      <c r="H731" s="101">
        <v>0</v>
      </c>
      <c r="I731" s="101">
        <v>0</v>
      </c>
      <c r="J731" s="101">
        <v>0</v>
      </c>
      <c r="K731" s="101">
        <v>0</v>
      </c>
      <c r="L731" s="101">
        <v>0</v>
      </c>
      <c r="M731" s="101">
        <v>0</v>
      </c>
      <c r="N731" s="101">
        <v>0</v>
      </c>
      <c r="O731" s="101">
        <v>0</v>
      </c>
      <c r="P731" s="101">
        <v>0</v>
      </c>
      <c r="Q731" s="101">
        <v>0</v>
      </c>
      <c r="U731" s="60" t="e">
        <v>#N/A</v>
      </c>
      <c r="V731" s="51" t="str">
        <f t="shared" ref="V731:V740" si="210">V700</f>
        <v>Carbon</v>
      </c>
      <c r="AC731" s="54"/>
      <c r="AG731" s="62" t="str">
        <f t="shared" ref="AG731:AG742" si="211">AG700</f>
        <v/>
      </c>
    </row>
    <row r="732" spans="1:33">
      <c r="C732" s="52" t="s">
        <v>106</v>
      </c>
      <c r="E732" s="101">
        <f t="shared" si="209"/>
        <v>0</v>
      </c>
      <c r="F732" s="101">
        <v>0</v>
      </c>
      <c r="G732" s="101">
        <v>0</v>
      </c>
      <c r="H732" s="101">
        <v>0</v>
      </c>
      <c r="I732" s="101">
        <v>0</v>
      </c>
      <c r="J732" s="101">
        <v>0</v>
      </c>
      <c r="K732" s="101">
        <v>0</v>
      </c>
      <c r="L732" s="101">
        <v>0</v>
      </c>
      <c r="M732" s="101">
        <v>0</v>
      </c>
      <c r="N732" s="101">
        <v>0</v>
      </c>
      <c r="O732" s="101">
        <v>0</v>
      </c>
      <c r="P732" s="101">
        <v>0</v>
      </c>
      <c r="Q732" s="101">
        <v>0</v>
      </c>
      <c r="U732" s="60" t="e">
        <v>#N/A</v>
      </c>
      <c r="V732" s="51" t="str">
        <f t="shared" si="210"/>
        <v>Cholla</v>
      </c>
      <c r="AC732" s="54"/>
      <c r="AG732" s="62" t="str">
        <f t="shared" si="211"/>
        <v/>
      </c>
    </row>
    <row r="733" spans="1:33">
      <c r="C733" s="52" t="s">
        <v>454</v>
      </c>
      <c r="E733" s="101">
        <f t="shared" si="209"/>
        <v>74</v>
      </c>
      <c r="F733" s="101">
        <v>74</v>
      </c>
      <c r="G733" s="101">
        <v>74</v>
      </c>
      <c r="H733" s="101">
        <v>74</v>
      </c>
      <c r="I733" s="101">
        <v>74</v>
      </c>
      <c r="J733" s="101">
        <v>74</v>
      </c>
      <c r="K733" s="101">
        <v>74</v>
      </c>
      <c r="L733" s="101">
        <v>74</v>
      </c>
      <c r="M733" s="101">
        <v>74</v>
      </c>
      <c r="N733" s="101">
        <v>74</v>
      </c>
      <c r="O733" s="101">
        <v>74</v>
      </c>
      <c r="P733" s="101">
        <v>74</v>
      </c>
      <c r="Q733" s="101">
        <v>74</v>
      </c>
      <c r="U733" s="60">
        <v>2</v>
      </c>
      <c r="V733" s="51" t="str">
        <f t="shared" si="210"/>
        <v>Colstrip</v>
      </c>
      <c r="AC733" s="54"/>
      <c r="AG733" s="62" t="str">
        <f t="shared" si="211"/>
        <v/>
      </c>
    </row>
    <row r="734" spans="1:33">
      <c r="C734" s="52" t="s">
        <v>455</v>
      </c>
      <c r="E734" s="101">
        <f t="shared" si="209"/>
        <v>0</v>
      </c>
      <c r="F734" s="101">
        <v>0</v>
      </c>
      <c r="G734" s="101">
        <v>0</v>
      </c>
      <c r="H734" s="101">
        <v>0</v>
      </c>
      <c r="I734" s="101">
        <v>0</v>
      </c>
      <c r="J734" s="101">
        <v>0</v>
      </c>
      <c r="K734" s="101">
        <v>0</v>
      </c>
      <c r="L734" s="101">
        <v>0</v>
      </c>
      <c r="M734" s="101">
        <v>0</v>
      </c>
      <c r="N734" s="101">
        <v>0</v>
      </c>
      <c r="O734" s="101">
        <v>0</v>
      </c>
      <c r="P734" s="101">
        <v>0</v>
      </c>
      <c r="Q734" s="101">
        <v>0</v>
      </c>
      <c r="U734" s="60" t="e">
        <v>#N/A</v>
      </c>
      <c r="V734" s="51" t="str">
        <f t="shared" si="210"/>
        <v>Craig</v>
      </c>
      <c r="AC734" s="54"/>
      <c r="AG734" s="62" t="str">
        <f t="shared" si="211"/>
        <v/>
      </c>
    </row>
    <row r="735" spans="1:33">
      <c r="C735" s="52" t="s">
        <v>456</v>
      </c>
      <c r="E735" s="101">
        <f t="shared" si="209"/>
        <v>0</v>
      </c>
      <c r="F735" s="101">
        <v>0</v>
      </c>
      <c r="G735" s="101">
        <v>0</v>
      </c>
      <c r="H735" s="101">
        <v>0</v>
      </c>
      <c r="I735" s="101">
        <v>0</v>
      </c>
      <c r="J735" s="101">
        <v>0</v>
      </c>
      <c r="K735" s="101">
        <v>0</v>
      </c>
      <c r="L735" s="101">
        <v>0</v>
      </c>
      <c r="M735" s="101">
        <v>0</v>
      </c>
      <c r="N735" s="101">
        <v>0</v>
      </c>
      <c r="O735" s="101">
        <v>0</v>
      </c>
      <c r="P735" s="101">
        <v>0</v>
      </c>
      <c r="Q735" s="101">
        <v>0</v>
      </c>
      <c r="U735" s="60" t="e">
        <v>#N/A</v>
      </c>
      <c r="V735" s="51" t="str">
        <f t="shared" si="210"/>
        <v>Dave Johnston</v>
      </c>
      <c r="AC735" s="54"/>
      <c r="AG735" s="62" t="str">
        <f t="shared" si="211"/>
        <v/>
      </c>
    </row>
    <row r="736" spans="1:33">
      <c r="C736" s="52" t="s">
        <v>457</v>
      </c>
      <c r="E736" s="101">
        <f t="shared" si="209"/>
        <v>0</v>
      </c>
      <c r="F736" s="101">
        <v>0</v>
      </c>
      <c r="G736" s="101">
        <v>0</v>
      </c>
      <c r="H736" s="101">
        <v>0</v>
      </c>
      <c r="I736" s="101">
        <v>0</v>
      </c>
      <c r="J736" s="101">
        <v>0</v>
      </c>
      <c r="K736" s="101">
        <v>0</v>
      </c>
      <c r="L736" s="101">
        <v>0</v>
      </c>
      <c r="M736" s="101">
        <v>0</v>
      </c>
      <c r="N736" s="101">
        <v>0</v>
      </c>
      <c r="O736" s="101">
        <v>0</v>
      </c>
      <c r="P736" s="101">
        <v>0</v>
      </c>
      <c r="Q736" s="101">
        <v>0</v>
      </c>
      <c r="U736" s="60" t="e">
        <v>#N/A</v>
      </c>
      <c r="V736" s="51" t="str">
        <f t="shared" si="210"/>
        <v>Hayden</v>
      </c>
      <c r="AC736" s="54"/>
      <c r="AG736" s="62" t="str">
        <f t="shared" si="211"/>
        <v/>
      </c>
    </row>
    <row r="737" spans="3:33">
      <c r="C737" s="52" t="s">
        <v>458</v>
      </c>
      <c r="E737" s="101">
        <f t="shared" si="209"/>
        <v>0</v>
      </c>
      <c r="F737" s="101">
        <v>0</v>
      </c>
      <c r="G737" s="101">
        <v>0</v>
      </c>
      <c r="H737" s="101">
        <v>0</v>
      </c>
      <c r="I737" s="101">
        <v>0</v>
      </c>
      <c r="J737" s="101">
        <v>0</v>
      </c>
      <c r="K737" s="101">
        <v>0</v>
      </c>
      <c r="L737" s="101">
        <v>0</v>
      </c>
      <c r="M737" s="101">
        <v>0</v>
      </c>
      <c r="N737" s="101">
        <v>0</v>
      </c>
      <c r="O737" s="101">
        <v>0</v>
      </c>
      <c r="P737" s="101">
        <v>0</v>
      </c>
      <c r="Q737" s="101">
        <v>0</v>
      </c>
      <c r="U737" s="60" t="e">
        <v>#N/A</v>
      </c>
      <c r="V737" s="51" t="str">
        <f t="shared" si="210"/>
        <v>Hunter</v>
      </c>
      <c r="AC737" s="54"/>
      <c r="AG737" s="62" t="str">
        <f t="shared" si="211"/>
        <v/>
      </c>
    </row>
    <row r="738" spans="3:33">
      <c r="C738" s="52" t="s">
        <v>459</v>
      </c>
      <c r="E738" s="101">
        <f t="shared" si="209"/>
        <v>0</v>
      </c>
      <c r="F738" s="101">
        <v>0</v>
      </c>
      <c r="G738" s="101">
        <v>0</v>
      </c>
      <c r="H738" s="101">
        <v>0</v>
      </c>
      <c r="I738" s="101">
        <v>0</v>
      </c>
      <c r="J738" s="101">
        <v>0</v>
      </c>
      <c r="K738" s="101">
        <v>0</v>
      </c>
      <c r="L738" s="101">
        <v>0</v>
      </c>
      <c r="M738" s="101">
        <v>0</v>
      </c>
      <c r="N738" s="101">
        <v>0</v>
      </c>
      <c r="O738" s="101">
        <v>0</v>
      </c>
      <c r="P738" s="101">
        <v>0</v>
      </c>
      <c r="Q738" s="101">
        <v>0</v>
      </c>
      <c r="U738" s="60" t="e">
        <v>#N/A</v>
      </c>
      <c r="V738" s="51" t="str">
        <f t="shared" si="210"/>
        <v>Huntington</v>
      </c>
      <c r="AC738" s="54"/>
      <c r="AG738" s="62" t="str">
        <f t="shared" si="211"/>
        <v/>
      </c>
    </row>
    <row r="739" spans="3:33">
      <c r="C739" s="52" t="s">
        <v>119</v>
      </c>
      <c r="E739" s="101">
        <f t="shared" si="209"/>
        <v>1411.3</v>
      </c>
      <c r="F739" s="101">
        <v>1411.3</v>
      </c>
      <c r="G739" s="101">
        <v>1411.3</v>
      </c>
      <c r="H739" s="101">
        <v>1411.3</v>
      </c>
      <c r="I739" s="101">
        <v>1411.3</v>
      </c>
      <c r="J739" s="101">
        <v>1411.3</v>
      </c>
      <c r="K739" s="101">
        <v>1411.3</v>
      </c>
      <c r="L739" s="101">
        <v>1411.3</v>
      </c>
      <c r="M739" s="101">
        <v>1411.3</v>
      </c>
      <c r="N739" s="101">
        <v>1407.8</v>
      </c>
      <c r="O739" s="101">
        <v>1407.8</v>
      </c>
      <c r="P739" s="101">
        <v>1407.8</v>
      </c>
      <c r="Q739" s="101">
        <v>1407.8</v>
      </c>
      <c r="U739" s="60">
        <v>4</v>
      </c>
      <c r="V739" s="51" t="str">
        <f t="shared" si="210"/>
        <v>Jim Bridger</v>
      </c>
      <c r="AC739" s="54"/>
      <c r="AG739" s="62" t="str">
        <f t="shared" si="211"/>
        <v/>
      </c>
    </row>
    <row r="740" spans="3:33">
      <c r="C740" s="52" t="s">
        <v>460</v>
      </c>
      <c r="E740" s="101">
        <f t="shared" si="209"/>
        <v>0</v>
      </c>
      <c r="F740" s="101">
        <v>0</v>
      </c>
      <c r="G740" s="101">
        <v>0</v>
      </c>
      <c r="H740" s="101">
        <v>0</v>
      </c>
      <c r="I740" s="101">
        <v>0</v>
      </c>
      <c r="J740" s="101">
        <v>0</v>
      </c>
      <c r="K740" s="101">
        <v>0</v>
      </c>
      <c r="L740" s="101">
        <v>0</v>
      </c>
      <c r="M740" s="101">
        <v>0</v>
      </c>
      <c r="N740" s="101">
        <v>0</v>
      </c>
      <c r="O740" s="101">
        <v>0</v>
      </c>
      <c r="P740" s="101">
        <v>0</v>
      </c>
      <c r="Q740" s="101">
        <v>0</v>
      </c>
      <c r="U740" s="60" t="e">
        <v>#N/A</v>
      </c>
      <c r="V740" s="51" t="str">
        <f t="shared" si="210"/>
        <v>Naughton</v>
      </c>
      <c r="AC740" s="54"/>
      <c r="AG740" s="62" t="str">
        <f t="shared" si="211"/>
        <v/>
      </c>
    </row>
    <row r="741" spans="3:33" hidden="1"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U741" s="60"/>
      <c r="AC741" s="54"/>
      <c r="AG741" s="62" t="str">
        <f t="shared" si="211"/>
        <v>Hide Row</v>
      </c>
    </row>
    <row r="742" spans="3:33">
      <c r="C742" s="52" t="s">
        <v>462</v>
      </c>
      <c r="E742" s="101">
        <f>MAX(F742:Q742)</f>
        <v>0</v>
      </c>
      <c r="F742" s="101">
        <v>0</v>
      </c>
      <c r="G742" s="101">
        <v>0</v>
      </c>
      <c r="H742" s="101">
        <v>0</v>
      </c>
      <c r="I742" s="101">
        <v>0</v>
      </c>
      <c r="J742" s="101">
        <v>0</v>
      </c>
      <c r="K742" s="101">
        <v>0</v>
      </c>
      <c r="L742" s="101">
        <v>0</v>
      </c>
      <c r="M742" s="101">
        <v>0</v>
      </c>
      <c r="N742" s="101">
        <v>0</v>
      </c>
      <c r="O742" s="101">
        <v>0</v>
      </c>
      <c r="P742" s="101">
        <v>0</v>
      </c>
      <c r="Q742" s="101">
        <v>0</v>
      </c>
      <c r="U742" s="60" t="e">
        <v>#N/A</v>
      </c>
      <c r="V742" s="51" t="str">
        <f>V711</f>
        <v>Wyodak</v>
      </c>
      <c r="AC742" s="54"/>
      <c r="AG742" s="62" t="str">
        <f t="shared" si="211"/>
        <v/>
      </c>
    </row>
    <row r="743" spans="3:33">
      <c r="E743" s="101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AC743" s="54"/>
    </row>
    <row r="744" spans="3:33">
      <c r="C744" s="52" t="s">
        <v>192</v>
      </c>
      <c r="E744" s="101">
        <f t="shared" ref="E744:E745" si="212">MAX(F744:Q744)</f>
        <v>242</v>
      </c>
      <c r="F744" s="101">
        <v>236</v>
      </c>
      <c r="G744" s="101">
        <v>236</v>
      </c>
      <c r="H744" s="101">
        <v>235</v>
      </c>
      <c r="I744" s="101">
        <v>233</v>
      </c>
      <c r="J744" s="101">
        <v>233</v>
      </c>
      <c r="K744" s="101">
        <v>236</v>
      </c>
      <c r="L744" s="101">
        <v>236</v>
      </c>
      <c r="M744" s="101">
        <v>238</v>
      </c>
      <c r="N744" s="101">
        <v>242</v>
      </c>
      <c r="O744" s="101">
        <v>242</v>
      </c>
      <c r="P744" s="101">
        <v>239</v>
      </c>
      <c r="Q744" s="101">
        <v>236</v>
      </c>
      <c r="U744" s="60">
        <v>3</v>
      </c>
      <c r="V744" s="51" t="str">
        <f t="shared" ref="V744:V745" si="213">V713</f>
        <v>Hermiston Owned</v>
      </c>
      <c r="AC744" s="54"/>
      <c r="AG744" s="62">
        <f t="shared" ref="AG744:AG745" si="214">AG713</f>
        <v>0</v>
      </c>
    </row>
    <row r="745" spans="3:33">
      <c r="C745" s="52" t="s">
        <v>255</v>
      </c>
      <c r="E745" s="101">
        <f t="shared" si="212"/>
        <v>0</v>
      </c>
      <c r="F745" s="101">
        <v>0</v>
      </c>
      <c r="G745" s="101">
        <v>0</v>
      </c>
      <c r="H745" s="101">
        <v>0</v>
      </c>
      <c r="I745" s="101">
        <v>0</v>
      </c>
      <c r="J745" s="101">
        <v>0</v>
      </c>
      <c r="K745" s="101">
        <v>0</v>
      </c>
      <c r="L745" s="101">
        <v>0</v>
      </c>
      <c r="M745" s="101">
        <v>0</v>
      </c>
      <c r="N745" s="101">
        <v>0</v>
      </c>
      <c r="O745" s="101">
        <v>0</v>
      </c>
      <c r="P745" s="101">
        <v>0</v>
      </c>
      <c r="Q745" s="101">
        <v>0</v>
      </c>
      <c r="U745" s="60" t="e">
        <v>#N/A</v>
      </c>
      <c r="V745" s="51" t="str">
        <f t="shared" si="213"/>
        <v>West Valley Toll</v>
      </c>
      <c r="AC745" s="54"/>
      <c r="AG745" s="62">
        <f t="shared" si="214"/>
        <v>0</v>
      </c>
    </row>
    <row r="746" spans="3:33">
      <c r="E746" s="101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AC746" s="54"/>
    </row>
    <row r="747" spans="3:33">
      <c r="C747" s="52" t="s">
        <v>116</v>
      </c>
      <c r="E747" s="101">
        <f t="shared" ref="E747:E755" si="215">MAX(F747:Q747)</f>
        <v>512</v>
      </c>
      <c r="F747" s="101">
        <v>497</v>
      </c>
      <c r="G747" s="101">
        <v>485</v>
      </c>
      <c r="H747" s="101">
        <v>481</v>
      </c>
      <c r="I747" s="101">
        <v>465</v>
      </c>
      <c r="J747" s="101">
        <v>463</v>
      </c>
      <c r="K747" s="101">
        <v>473</v>
      </c>
      <c r="L747" s="101">
        <v>496</v>
      </c>
      <c r="M747" s="101">
        <v>507</v>
      </c>
      <c r="N747" s="101">
        <v>512</v>
      </c>
      <c r="O747" s="101">
        <v>512</v>
      </c>
      <c r="P747" s="101">
        <v>507</v>
      </c>
      <c r="Q747" s="101">
        <v>501</v>
      </c>
      <c r="U747" s="60">
        <v>1</v>
      </c>
      <c r="V747" s="51" t="str">
        <f t="shared" ref="V747:V755" si="216">V716</f>
        <v>Chehalis</v>
      </c>
      <c r="AC747" s="54"/>
      <c r="AG747" s="62" t="str">
        <f t="shared" ref="AG747:AG756" si="217">AG716</f>
        <v/>
      </c>
    </row>
    <row r="748" spans="3:33">
      <c r="C748" s="52" t="s">
        <v>466</v>
      </c>
      <c r="E748" s="101">
        <f t="shared" si="215"/>
        <v>0</v>
      </c>
      <c r="F748" s="101">
        <v>0</v>
      </c>
      <c r="G748" s="101">
        <v>0</v>
      </c>
      <c r="H748" s="101">
        <v>0</v>
      </c>
      <c r="I748" s="101">
        <v>0</v>
      </c>
      <c r="J748" s="101">
        <v>0</v>
      </c>
      <c r="K748" s="101">
        <v>0</v>
      </c>
      <c r="L748" s="101">
        <v>0</v>
      </c>
      <c r="M748" s="101">
        <v>0</v>
      </c>
      <c r="N748" s="101">
        <v>0</v>
      </c>
      <c r="O748" s="101">
        <v>0</v>
      </c>
      <c r="P748" s="101">
        <v>0</v>
      </c>
      <c r="Q748" s="101">
        <v>0</v>
      </c>
      <c r="U748" s="60" t="e">
        <v>#N/A</v>
      </c>
      <c r="V748" s="51" t="str">
        <f t="shared" si="216"/>
        <v>Currant Creek</v>
      </c>
      <c r="AC748" s="54"/>
      <c r="AG748" s="62" t="str">
        <f t="shared" si="217"/>
        <v>Hide Row</v>
      </c>
    </row>
    <row r="749" spans="3:33">
      <c r="C749" s="52" t="s">
        <v>467</v>
      </c>
      <c r="E749" s="101">
        <f t="shared" si="215"/>
        <v>0</v>
      </c>
      <c r="F749" s="101">
        <v>0</v>
      </c>
      <c r="G749" s="101">
        <v>0</v>
      </c>
      <c r="H749" s="101">
        <v>0</v>
      </c>
      <c r="I749" s="101">
        <v>0</v>
      </c>
      <c r="J749" s="101">
        <v>0</v>
      </c>
      <c r="K749" s="101">
        <v>0</v>
      </c>
      <c r="L749" s="101">
        <v>0</v>
      </c>
      <c r="M749" s="101">
        <v>0</v>
      </c>
      <c r="N749" s="101">
        <v>0</v>
      </c>
      <c r="O749" s="101">
        <v>0</v>
      </c>
      <c r="P749" s="101">
        <v>0</v>
      </c>
      <c r="Q749" s="101">
        <v>0</v>
      </c>
      <c r="U749" s="60" t="e">
        <v>#N/A</v>
      </c>
      <c r="V749" s="51" t="str">
        <f t="shared" si="216"/>
        <v>Gadsby</v>
      </c>
      <c r="AC749" s="54"/>
      <c r="AG749" s="62" t="str">
        <f t="shared" si="217"/>
        <v>Hide Row</v>
      </c>
    </row>
    <row r="750" spans="3:33">
      <c r="C750" s="52" t="s">
        <v>469</v>
      </c>
      <c r="E750" s="101">
        <f t="shared" si="215"/>
        <v>0</v>
      </c>
      <c r="F750" s="101">
        <v>0</v>
      </c>
      <c r="G750" s="101">
        <v>0</v>
      </c>
      <c r="H750" s="101">
        <v>0</v>
      </c>
      <c r="I750" s="101">
        <v>0</v>
      </c>
      <c r="J750" s="101">
        <v>0</v>
      </c>
      <c r="K750" s="101">
        <v>0</v>
      </c>
      <c r="L750" s="101">
        <v>0</v>
      </c>
      <c r="M750" s="101">
        <v>0</v>
      </c>
      <c r="N750" s="101">
        <v>0</v>
      </c>
      <c r="O750" s="101">
        <v>0</v>
      </c>
      <c r="P750" s="101">
        <v>0</v>
      </c>
      <c r="Q750" s="101">
        <v>0</v>
      </c>
      <c r="U750" s="60" t="e">
        <v>#N/A</v>
      </c>
      <c r="V750" s="51" t="str">
        <f t="shared" si="216"/>
        <v>Gadsby CT</v>
      </c>
      <c r="AC750" s="54"/>
      <c r="AG750" s="62" t="str">
        <f t="shared" si="217"/>
        <v>Hide Row</v>
      </c>
    </row>
    <row r="751" spans="3:33">
      <c r="C751" s="52" t="s">
        <v>470</v>
      </c>
      <c r="E751" s="101">
        <f t="shared" si="215"/>
        <v>242</v>
      </c>
      <c r="F751" s="101">
        <v>236</v>
      </c>
      <c r="G751" s="101">
        <v>236</v>
      </c>
      <c r="H751" s="101">
        <v>235</v>
      </c>
      <c r="I751" s="101">
        <v>233</v>
      </c>
      <c r="J751" s="101">
        <v>233</v>
      </c>
      <c r="K751" s="101">
        <v>236</v>
      </c>
      <c r="L751" s="101">
        <v>236</v>
      </c>
      <c r="M751" s="101">
        <v>238</v>
      </c>
      <c r="N751" s="101">
        <v>242</v>
      </c>
      <c r="O751" s="101">
        <v>242</v>
      </c>
      <c r="P751" s="101">
        <v>239</v>
      </c>
      <c r="Q751" s="101">
        <v>236</v>
      </c>
      <c r="U751" s="60">
        <v>3</v>
      </c>
      <c r="V751" s="51" t="str">
        <f t="shared" si="216"/>
        <v>Hermiston Owned</v>
      </c>
      <c r="AC751" s="54"/>
      <c r="AG751" s="62" t="str">
        <f t="shared" si="217"/>
        <v/>
      </c>
    </row>
    <row r="752" spans="3:33">
      <c r="C752" s="52" t="s">
        <v>472</v>
      </c>
      <c r="E752" s="101">
        <f t="shared" si="215"/>
        <v>0</v>
      </c>
      <c r="F752" s="101">
        <v>0</v>
      </c>
      <c r="G752" s="101">
        <v>0</v>
      </c>
      <c r="H752" s="101">
        <v>0</v>
      </c>
      <c r="I752" s="101">
        <v>0</v>
      </c>
      <c r="J752" s="101">
        <v>0</v>
      </c>
      <c r="K752" s="101">
        <v>0</v>
      </c>
      <c r="L752" s="101">
        <v>0</v>
      </c>
      <c r="M752" s="101">
        <v>0</v>
      </c>
      <c r="N752" s="101">
        <v>0</v>
      </c>
      <c r="O752" s="101">
        <v>0</v>
      </c>
      <c r="P752" s="101">
        <v>0</v>
      </c>
      <c r="Q752" s="101">
        <v>0</v>
      </c>
      <c r="U752" s="60" t="e">
        <v>#N/A</v>
      </c>
      <c r="V752" s="51" t="str">
        <f t="shared" si="216"/>
        <v>Lake Side 1</v>
      </c>
      <c r="AC752" s="54"/>
      <c r="AG752" s="62" t="str">
        <f t="shared" si="217"/>
        <v>Hide Row</v>
      </c>
    </row>
    <row r="753" spans="1:33">
      <c r="C753" s="52" t="s">
        <v>644</v>
      </c>
      <c r="E753" s="101">
        <f t="shared" si="215"/>
        <v>0</v>
      </c>
      <c r="F753" s="101">
        <v>0</v>
      </c>
      <c r="G753" s="101">
        <v>0</v>
      </c>
      <c r="H753" s="101">
        <v>0</v>
      </c>
      <c r="I753" s="101">
        <v>0</v>
      </c>
      <c r="J753" s="101">
        <v>0</v>
      </c>
      <c r="K753" s="101">
        <v>0</v>
      </c>
      <c r="L753" s="101">
        <v>0</v>
      </c>
      <c r="M753" s="101">
        <v>0</v>
      </c>
      <c r="N753" s="101">
        <v>0</v>
      </c>
      <c r="O753" s="101">
        <v>0</v>
      </c>
      <c r="P753" s="101">
        <v>0</v>
      </c>
      <c r="Q753" s="101">
        <v>0</v>
      </c>
      <c r="U753" s="60" t="e">
        <v>#N/A</v>
      </c>
      <c r="V753" s="51" t="str">
        <f t="shared" si="216"/>
        <v>Lake Side II</v>
      </c>
      <c r="AC753" s="54"/>
      <c r="AG753" s="62" t="str">
        <f t="shared" si="217"/>
        <v>Hide Row</v>
      </c>
    </row>
    <row r="754" spans="1:33">
      <c r="C754" s="52" t="s">
        <v>473</v>
      </c>
      <c r="E754" s="101">
        <f t="shared" si="215"/>
        <v>0</v>
      </c>
      <c r="F754" s="101">
        <v>0</v>
      </c>
      <c r="G754" s="101">
        <v>0</v>
      </c>
      <c r="H754" s="101">
        <v>0</v>
      </c>
      <c r="I754" s="101">
        <v>0</v>
      </c>
      <c r="J754" s="101">
        <v>0</v>
      </c>
      <c r="K754" s="101">
        <v>0</v>
      </c>
      <c r="L754" s="101">
        <v>0</v>
      </c>
      <c r="M754" s="101">
        <v>0</v>
      </c>
      <c r="N754" s="101">
        <v>0</v>
      </c>
      <c r="O754" s="101">
        <v>0</v>
      </c>
      <c r="P754" s="101">
        <v>0</v>
      </c>
      <c r="Q754" s="101">
        <v>0</v>
      </c>
      <c r="U754" s="60" t="e">
        <v>#N/A</v>
      </c>
      <c r="V754" s="51" t="str">
        <f t="shared" si="216"/>
        <v>Little Mountain</v>
      </c>
      <c r="AC754" s="54"/>
      <c r="AG754" s="62" t="str">
        <f t="shared" si="217"/>
        <v>Hide Row</v>
      </c>
    </row>
    <row r="755" spans="1:33">
      <c r="C755" s="52" t="s">
        <v>474</v>
      </c>
      <c r="E755" s="101">
        <f t="shared" si="215"/>
        <v>0</v>
      </c>
      <c r="F755" s="101">
        <v>0</v>
      </c>
      <c r="G755" s="101">
        <v>0</v>
      </c>
      <c r="H755" s="101">
        <v>0</v>
      </c>
      <c r="I755" s="101">
        <v>0</v>
      </c>
      <c r="J755" s="101">
        <v>0</v>
      </c>
      <c r="K755" s="101">
        <v>0</v>
      </c>
      <c r="L755" s="101">
        <v>0</v>
      </c>
      <c r="M755" s="101">
        <v>0</v>
      </c>
      <c r="N755" s="101">
        <v>0</v>
      </c>
      <c r="O755" s="101">
        <v>0</v>
      </c>
      <c r="P755" s="101">
        <v>0</v>
      </c>
      <c r="Q755" s="101">
        <v>0</v>
      </c>
      <c r="U755" s="60" t="e">
        <v>#N/A</v>
      </c>
      <c r="V755" s="51" t="str">
        <f t="shared" si="216"/>
        <v>Naughton - Gas</v>
      </c>
      <c r="AC755" s="54"/>
      <c r="AG755" s="62" t="str">
        <f t="shared" si="217"/>
        <v>Hide Row</v>
      </c>
    </row>
    <row r="756" spans="1:33" hidden="1">
      <c r="C756" s="52" t="s">
        <v>475</v>
      </c>
      <c r="E756" s="101">
        <f>MAX(F756:Q756)</f>
        <v>0</v>
      </c>
      <c r="F756" s="101">
        <v>0</v>
      </c>
      <c r="G756" s="101">
        <v>0</v>
      </c>
      <c r="H756" s="101">
        <v>0</v>
      </c>
      <c r="I756" s="101">
        <v>0</v>
      </c>
      <c r="J756" s="101">
        <v>0</v>
      </c>
      <c r="K756" s="101">
        <v>0</v>
      </c>
      <c r="L756" s="101">
        <v>0</v>
      </c>
      <c r="M756" s="101">
        <v>0</v>
      </c>
      <c r="N756" s="101">
        <v>0</v>
      </c>
      <c r="O756" s="101">
        <v>0</v>
      </c>
      <c r="P756" s="101">
        <v>0</v>
      </c>
      <c r="Q756" s="101">
        <v>0</v>
      </c>
      <c r="U756" s="60" t="e">
        <v>#N/A</v>
      </c>
      <c r="V756" s="51">
        <f>V725</f>
        <v>0</v>
      </c>
      <c r="AC756" s="54"/>
      <c r="AG756" s="62" t="str">
        <f t="shared" si="217"/>
        <v>Hide Row</v>
      </c>
    </row>
    <row r="757" spans="1:33">
      <c r="E757" s="156"/>
      <c r="F757" s="156"/>
      <c r="G757" s="156"/>
      <c r="H757" s="156"/>
      <c r="I757" s="156"/>
      <c r="J757" s="156"/>
      <c r="K757" s="156"/>
      <c r="L757" s="156"/>
      <c r="M757" s="156"/>
      <c r="N757" s="156"/>
      <c r="O757" s="156"/>
      <c r="P757" s="156"/>
      <c r="Q757" s="156"/>
      <c r="AC757" s="54"/>
    </row>
    <row r="758" spans="1:33" s="157" customFormat="1" ht="15.75">
      <c r="A758" s="56" t="s">
        <v>573</v>
      </c>
      <c r="C758" s="158"/>
      <c r="E758" s="159"/>
      <c r="F758" s="159"/>
      <c r="G758" s="159"/>
      <c r="H758" s="159"/>
      <c r="I758" s="159"/>
      <c r="J758" s="159"/>
      <c r="K758" s="159"/>
      <c r="L758" s="159"/>
      <c r="M758" s="159"/>
      <c r="N758" s="159"/>
      <c r="O758" s="159"/>
      <c r="P758" s="159"/>
      <c r="Q758" s="159"/>
      <c r="R758" s="53"/>
      <c r="T758" s="160"/>
      <c r="AC758" s="160"/>
    </row>
    <row r="759" spans="1:33">
      <c r="C759" s="52" t="s">
        <v>494</v>
      </c>
      <c r="E759" s="161">
        <f>IF(E728=0,0,E609/(SUMPRODUCT(F728:Q728,$F$1120:$Q$1120)/$E$1120*E$1120))</f>
        <v>0</v>
      </c>
      <c r="F759" s="161">
        <f t="shared" ref="F759:Q759" si="218">IF(F728=0,0,F609/(F728*F$1120))</f>
        <v>0</v>
      </c>
      <c r="G759" s="161">
        <f t="shared" si="218"/>
        <v>0</v>
      </c>
      <c r="H759" s="161">
        <f t="shared" si="218"/>
        <v>0</v>
      </c>
      <c r="I759" s="161">
        <f t="shared" si="218"/>
        <v>0</v>
      </c>
      <c r="J759" s="161">
        <f t="shared" si="218"/>
        <v>0</v>
      </c>
      <c r="K759" s="161">
        <f t="shared" si="218"/>
        <v>0</v>
      </c>
      <c r="L759" s="161">
        <f t="shared" si="218"/>
        <v>0</v>
      </c>
      <c r="M759" s="161">
        <f t="shared" si="218"/>
        <v>0</v>
      </c>
      <c r="N759" s="161">
        <f t="shared" si="218"/>
        <v>0</v>
      </c>
      <c r="O759" s="161">
        <f t="shared" si="218"/>
        <v>0</v>
      </c>
      <c r="P759" s="161">
        <f t="shared" si="218"/>
        <v>0</v>
      </c>
      <c r="Q759" s="161">
        <f t="shared" si="218"/>
        <v>0</v>
      </c>
      <c r="AC759" s="54"/>
      <c r="AG759" s="62" t="str">
        <f>AG728</f>
        <v/>
      </c>
    </row>
    <row r="760" spans="1:33">
      <c r="E760" s="162"/>
      <c r="F760" s="162"/>
      <c r="G760" s="162"/>
      <c r="H760" s="162"/>
      <c r="I760" s="162"/>
      <c r="J760" s="162"/>
      <c r="K760" s="162"/>
      <c r="L760" s="162"/>
      <c r="M760" s="162"/>
      <c r="N760" s="162"/>
      <c r="O760" s="162"/>
      <c r="P760" s="162"/>
      <c r="Q760" s="162"/>
      <c r="AC760" s="54"/>
    </row>
    <row r="761" spans="1:33">
      <c r="C761" s="52" t="s">
        <v>453</v>
      </c>
      <c r="E761" s="161">
        <f t="shared" ref="E761:E770" si="219">IF(E731=0,0,E572/(SUMPRODUCT(F731:Q731,$F$1120:$Q$1120)/$E$1120*E$1120))</f>
        <v>0</v>
      </c>
      <c r="F761" s="161">
        <f t="shared" ref="F761:Q770" si="220">IF(F731=0,0,F572/(F731*F$1120))</f>
        <v>0</v>
      </c>
      <c r="G761" s="161">
        <f t="shared" si="220"/>
        <v>0</v>
      </c>
      <c r="H761" s="161">
        <f t="shared" si="220"/>
        <v>0</v>
      </c>
      <c r="I761" s="161">
        <f t="shared" si="220"/>
        <v>0</v>
      </c>
      <c r="J761" s="161">
        <f t="shared" si="220"/>
        <v>0</v>
      </c>
      <c r="K761" s="161">
        <f t="shared" si="220"/>
        <v>0</v>
      </c>
      <c r="L761" s="161">
        <f t="shared" si="220"/>
        <v>0</v>
      </c>
      <c r="M761" s="161">
        <f t="shared" si="220"/>
        <v>0</v>
      </c>
      <c r="N761" s="161">
        <f t="shared" si="220"/>
        <v>0</v>
      </c>
      <c r="O761" s="161">
        <f t="shared" si="220"/>
        <v>0</v>
      </c>
      <c r="P761" s="161">
        <f t="shared" si="220"/>
        <v>0</v>
      </c>
      <c r="Q761" s="161">
        <f t="shared" si="220"/>
        <v>0</v>
      </c>
      <c r="AC761" s="54"/>
      <c r="AG761" s="62" t="str">
        <f t="shared" ref="AG761:AG772" si="221">AG731</f>
        <v/>
      </c>
    </row>
    <row r="762" spans="1:33">
      <c r="C762" s="52" t="s">
        <v>106</v>
      </c>
      <c r="E762" s="161">
        <f t="shared" si="219"/>
        <v>0</v>
      </c>
      <c r="F762" s="161">
        <f t="shared" si="220"/>
        <v>0</v>
      </c>
      <c r="G762" s="161">
        <f t="shared" si="220"/>
        <v>0</v>
      </c>
      <c r="H762" s="161">
        <f t="shared" si="220"/>
        <v>0</v>
      </c>
      <c r="I762" s="161">
        <f t="shared" si="220"/>
        <v>0</v>
      </c>
      <c r="J762" s="161">
        <f t="shared" si="220"/>
        <v>0</v>
      </c>
      <c r="K762" s="161">
        <f t="shared" si="220"/>
        <v>0</v>
      </c>
      <c r="L762" s="161">
        <f t="shared" si="220"/>
        <v>0</v>
      </c>
      <c r="M762" s="161">
        <f t="shared" si="220"/>
        <v>0</v>
      </c>
      <c r="N762" s="161">
        <f t="shared" si="220"/>
        <v>0</v>
      </c>
      <c r="O762" s="161">
        <f t="shared" si="220"/>
        <v>0</v>
      </c>
      <c r="P762" s="161">
        <f t="shared" si="220"/>
        <v>0</v>
      </c>
      <c r="Q762" s="161">
        <f t="shared" si="220"/>
        <v>0</v>
      </c>
      <c r="AC762" s="54"/>
      <c r="AG762" s="62" t="str">
        <f t="shared" si="221"/>
        <v/>
      </c>
    </row>
    <row r="763" spans="1:33">
      <c r="C763" s="52" t="s">
        <v>454</v>
      </c>
      <c r="E763" s="161">
        <f t="shared" si="219"/>
        <v>0.89015239428625381</v>
      </c>
      <c r="F763" s="161">
        <f t="shared" si="220"/>
        <v>0.91870005725717263</v>
      </c>
      <c r="G763" s="161">
        <f t="shared" si="220"/>
        <v>0.91328405482176211</v>
      </c>
      <c r="H763" s="161">
        <f t="shared" si="220"/>
        <v>0.57523423423423425</v>
      </c>
      <c r="I763" s="161">
        <f t="shared" si="220"/>
        <v>0.91838372346918451</v>
      </c>
      <c r="J763" s="161">
        <f t="shared" si="220"/>
        <v>0.91924313787164058</v>
      </c>
      <c r="K763" s="161">
        <f t="shared" si="220"/>
        <v>0.91894795378422223</v>
      </c>
      <c r="L763" s="161">
        <f t="shared" si="220"/>
        <v>0.91924381856399406</v>
      </c>
      <c r="M763" s="161">
        <f t="shared" si="220"/>
        <v>0.91850051226748231</v>
      </c>
      <c r="N763" s="161">
        <f t="shared" si="220"/>
        <v>0.91937529290983055</v>
      </c>
      <c r="O763" s="161">
        <f t="shared" si="220"/>
        <v>0.91862290169410787</v>
      </c>
      <c r="P763" s="161">
        <f t="shared" si="220"/>
        <v>0.91811848976501809</v>
      </c>
      <c r="Q763" s="161">
        <f t="shared" si="220"/>
        <v>0.91858440548529041</v>
      </c>
      <c r="AC763" s="54"/>
      <c r="AG763" s="62" t="str">
        <f t="shared" si="221"/>
        <v/>
      </c>
    </row>
    <row r="764" spans="1:33">
      <c r="C764" s="52" t="s">
        <v>455</v>
      </c>
      <c r="E764" s="161">
        <f t="shared" si="219"/>
        <v>0</v>
      </c>
      <c r="F764" s="161">
        <f t="shared" si="220"/>
        <v>0</v>
      </c>
      <c r="G764" s="161">
        <f t="shared" si="220"/>
        <v>0</v>
      </c>
      <c r="H764" s="161">
        <f t="shared" si="220"/>
        <v>0</v>
      </c>
      <c r="I764" s="161">
        <f t="shared" si="220"/>
        <v>0</v>
      </c>
      <c r="J764" s="161">
        <f t="shared" si="220"/>
        <v>0</v>
      </c>
      <c r="K764" s="161">
        <f t="shared" si="220"/>
        <v>0</v>
      </c>
      <c r="L764" s="161">
        <f t="shared" si="220"/>
        <v>0</v>
      </c>
      <c r="M764" s="161">
        <f t="shared" si="220"/>
        <v>0</v>
      </c>
      <c r="N764" s="161">
        <f t="shared" si="220"/>
        <v>0</v>
      </c>
      <c r="O764" s="161">
        <f t="shared" si="220"/>
        <v>0</v>
      </c>
      <c r="P764" s="161">
        <f t="shared" si="220"/>
        <v>0</v>
      </c>
      <c r="Q764" s="161">
        <f t="shared" si="220"/>
        <v>0</v>
      </c>
      <c r="AC764" s="54"/>
      <c r="AG764" s="62" t="str">
        <f t="shared" si="221"/>
        <v/>
      </c>
    </row>
    <row r="765" spans="1:33">
      <c r="C765" s="52" t="s">
        <v>456</v>
      </c>
      <c r="E765" s="161">
        <f t="shared" si="219"/>
        <v>0</v>
      </c>
      <c r="F765" s="161">
        <f t="shared" si="220"/>
        <v>0</v>
      </c>
      <c r="G765" s="161">
        <f t="shared" si="220"/>
        <v>0</v>
      </c>
      <c r="H765" s="161">
        <f t="shared" si="220"/>
        <v>0</v>
      </c>
      <c r="I765" s="161">
        <f t="shared" si="220"/>
        <v>0</v>
      </c>
      <c r="J765" s="161">
        <f t="shared" si="220"/>
        <v>0</v>
      </c>
      <c r="K765" s="161">
        <f t="shared" si="220"/>
        <v>0</v>
      </c>
      <c r="L765" s="161">
        <f t="shared" si="220"/>
        <v>0</v>
      </c>
      <c r="M765" s="161">
        <f t="shared" si="220"/>
        <v>0</v>
      </c>
      <c r="N765" s="161">
        <f t="shared" si="220"/>
        <v>0</v>
      </c>
      <c r="O765" s="161">
        <f t="shared" si="220"/>
        <v>0</v>
      </c>
      <c r="P765" s="161">
        <f t="shared" si="220"/>
        <v>0</v>
      </c>
      <c r="Q765" s="161">
        <f t="shared" si="220"/>
        <v>0</v>
      </c>
      <c r="AC765" s="54"/>
      <c r="AG765" s="62" t="str">
        <f t="shared" si="221"/>
        <v/>
      </c>
    </row>
    <row r="766" spans="1:33">
      <c r="C766" s="52" t="s">
        <v>457</v>
      </c>
      <c r="E766" s="161">
        <f t="shared" si="219"/>
        <v>0</v>
      </c>
      <c r="F766" s="161">
        <f t="shared" si="220"/>
        <v>0</v>
      </c>
      <c r="G766" s="161">
        <f t="shared" si="220"/>
        <v>0</v>
      </c>
      <c r="H766" s="161">
        <f t="shared" si="220"/>
        <v>0</v>
      </c>
      <c r="I766" s="161">
        <f t="shared" si="220"/>
        <v>0</v>
      </c>
      <c r="J766" s="161">
        <f t="shared" si="220"/>
        <v>0</v>
      </c>
      <c r="K766" s="161">
        <f t="shared" si="220"/>
        <v>0</v>
      </c>
      <c r="L766" s="161">
        <f t="shared" si="220"/>
        <v>0</v>
      </c>
      <c r="M766" s="161">
        <f t="shared" si="220"/>
        <v>0</v>
      </c>
      <c r="N766" s="161">
        <f t="shared" si="220"/>
        <v>0</v>
      </c>
      <c r="O766" s="161">
        <f t="shared" si="220"/>
        <v>0</v>
      </c>
      <c r="P766" s="161">
        <f t="shared" si="220"/>
        <v>0</v>
      </c>
      <c r="Q766" s="161">
        <f t="shared" si="220"/>
        <v>0</v>
      </c>
      <c r="AC766" s="54"/>
      <c r="AG766" s="62" t="str">
        <f t="shared" si="221"/>
        <v/>
      </c>
    </row>
    <row r="767" spans="1:33">
      <c r="C767" s="52" t="s">
        <v>458</v>
      </c>
      <c r="E767" s="161">
        <f t="shared" si="219"/>
        <v>0</v>
      </c>
      <c r="F767" s="161">
        <f t="shared" si="220"/>
        <v>0</v>
      </c>
      <c r="G767" s="161">
        <f t="shared" si="220"/>
        <v>0</v>
      </c>
      <c r="H767" s="161">
        <f t="shared" si="220"/>
        <v>0</v>
      </c>
      <c r="I767" s="161">
        <f t="shared" si="220"/>
        <v>0</v>
      </c>
      <c r="J767" s="161">
        <f t="shared" si="220"/>
        <v>0</v>
      </c>
      <c r="K767" s="161">
        <f t="shared" si="220"/>
        <v>0</v>
      </c>
      <c r="L767" s="161">
        <f t="shared" si="220"/>
        <v>0</v>
      </c>
      <c r="M767" s="161">
        <f t="shared" si="220"/>
        <v>0</v>
      </c>
      <c r="N767" s="161">
        <f t="shared" si="220"/>
        <v>0</v>
      </c>
      <c r="O767" s="161">
        <f t="shared" si="220"/>
        <v>0</v>
      </c>
      <c r="P767" s="161">
        <f t="shared" si="220"/>
        <v>0</v>
      </c>
      <c r="Q767" s="161">
        <f t="shared" si="220"/>
        <v>0</v>
      </c>
      <c r="AC767" s="54"/>
      <c r="AG767" s="62" t="str">
        <f t="shared" si="221"/>
        <v/>
      </c>
    </row>
    <row r="768" spans="1:33">
      <c r="C768" s="52" t="s">
        <v>459</v>
      </c>
      <c r="E768" s="161">
        <f t="shared" si="219"/>
        <v>0</v>
      </c>
      <c r="F768" s="161">
        <f t="shared" si="220"/>
        <v>0</v>
      </c>
      <c r="G768" s="161">
        <f t="shared" si="220"/>
        <v>0</v>
      </c>
      <c r="H768" s="161">
        <f t="shared" si="220"/>
        <v>0</v>
      </c>
      <c r="I768" s="161">
        <f t="shared" si="220"/>
        <v>0</v>
      </c>
      <c r="J768" s="161">
        <f t="shared" si="220"/>
        <v>0</v>
      </c>
      <c r="K768" s="161">
        <f t="shared" si="220"/>
        <v>0</v>
      </c>
      <c r="L768" s="161">
        <f t="shared" si="220"/>
        <v>0</v>
      </c>
      <c r="M768" s="161">
        <f t="shared" si="220"/>
        <v>0</v>
      </c>
      <c r="N768" s="161">
        <f t="shared" si="220"/>
        <v>0</v>
      </c>
      <c r="O768" s="161">
        <f t="shared" si="220"/>
        <v>0</v>
      </c>
      <c r="P768" s="161">
        <f t="shared" si="220"/>
        <v>0</v>
      </c>
      <c r="Q768" s="161">
        <f t="shared" si="220"/>
        <v>0</v>
      </c>
      <c r="AC768" s="54"/>
      <c r="AG768" s="62" t="str">
        <f t="shared" si="221"/>
        <v/>
      </c>
    </row>
    <row r="769" spans="3:33">
      <c r="C769" s="52" t="s">
        <v>119</v>
      </c>
      <c r="E769" s="161">
        <f t="shared" si="219"/>
        <v>0.81541640673981886</v>
      </c>
      <c r="F769" s="161">
        <f t="shared" si="220"/>
        <v>0.71550329504449983</v>
      </c>
      <c r="G769" s="161">
        <f t="shared" si="220"/>
        <v>0.63214719718155576</v>
      </c>
      <c r="H769" s="161">
        <f t="shared" si="220"/>
        <v>0.72708518874835659</v>
      </c>
      <c r="I769" s="161">
        <f t="shared" si="220"/>
        <v>0.89980893818712926</v>
      </c>
      <c r="J769" s="161">
        <f t="shared" si="220"/>
        <v>0.88364367716297076</v>
      </c>
      <c r="K769" s="161">
        <f t="shared" si="220"/>
        <v>0.87597227953106349</v>
      </c>
      <c r="L769" s="161">
        <f t="shared" si="220"/>
        <v>0.89008009744472305</v>
      </c>
      <c r="M769" s="161">
        <f t="shared" si="220"/>
        <v>0.87754665393914633</v>
      </c>
      <c r="N769" s="161">
        <f t="shared" si="220"/>
        <v>0.85766501010713392</v>
      </c>
      <c r="O769" s="161">
        <f t="shared" si="220"/>
        <v>0.82405910189550047</v>
      </c>
      <c r="P769" s="161">
        <f t="shared" si="220"/>
        <v>0.85423564141754416</v>
      </c>
      <c r="Q769" s="161">
        <f t="shared" si="220"/>
        <v>0.74768778975710781</v>
      </c>
      <c r="AC769" s="54"/>
      <c r="AG769" s="62" t="str">
        <f t="shared" si="221"/>
        <v/>
      </c>
    </row>
    <row r="770" spans="3:33">
      <c r="C770" s="52" t="s">
        <v>460</v>
      </c>
      <c r="E770" s="161">
        <f t="shared" si="219"/>
        <v>0</v>
      </c>
      <c r="F770" s="161">
        <f t="shared" si="220"/>
        <v>0</v>
      </c>
      <c r="G770" s="161">
        <f t="shared" si="220"/>
        <v>0</v>
      </c>
      <c r="H770" s="161">
        <f t="shared" si="220"/>
        <v>0</v>
      </c>
      <c r="I770" s="161">
        <f t="shared" si="220"/>
        <v>0</v>
      </c>
      <c r="J770" s="161">
        <f t="shared" si="220"/>
        <v>0</v>
      </c>
      <c r="K770" s="161">
        <f t="shared" si="220"/>
        <v>0</v>
      </c>
      <c r="L770" s="161">
        <f t="shared" si="220"/>
        <v>0</v>
      </c>
      <c r="M770" s="161">
        <f t="shared" si="220"/>
        <v>0</v>
      </c>
      <c r="N770" s="161">
        <f t="shared" si="220"/>
        <v>0</v>
      </c>
      <c r="O770" s="161">
        <f t="shared" si="220"/>
        <v>0</v>
      </c>
      <c r="P770" s="161">
        <f t="shared" si="220"/>
        <v>0</v>
      </c>
      <c r="Q770" s="161">
        <f t="shared" si="220"/>
        <v>0</v>
      </c>
      <c r="AC770" s="54"/>
      <c r="AG770" s="62" t="str">
        <f t="shared" si="221"/>
        <v/>
      </c>
    </row>
    <row r="771" spans="3:33" hidden="1">
      <c r="E771" s="161"/>
      <c r="F771" s="161"/>
      <c r="G771" s="161"/>
      <c r="H771" s="161"/>
      <c r="I771" s="161"/>
      <c r="J771" s="161"/>
      <c r="K771" s="161"/>
      <c r="L771" s="161"/>
      <c r="M771" s="161"/>
      <c r="N771" s="161"/>
      <c r="O771" s="161"/>
      <c r="P771" s="161"/>
      <c r="Q771" s="161"/>
      <c r="AC771" s="54"/>
      <c r="AG771" s="62" t="str">
        <f t="shared" si="221"/>
        <v>Hide Row</v>
      </c>
    </row>
    <row r="772" spans="3:33">
      <c r="C772" s="52" t="s">
        <v>462</v>
      </c>
      <c r="E772" s="161">
        <f>IF(E742=0,0,E584/(SUMPRODUCT(F742:Q742,$F$1120:$Q$1120)/$E$1120*E$1120))</f>
        <v>0</v>
      </c>
      <c r="F772" s="161">
        <f t="shared" ref="F772:Q772" si="222">IF(F742=0,0,F584/(F742*F$1120))</f>
        <v>0</v>
      </c>
      <c r="G772" s="161">
        <f t="shared" si="222"/>
        <v>0</v>
      </c>
      <c r="H772" s="161">
        <f t="shared" si="222"/>
        <v>0</v>
      </c>
      <c r="I772" s="161">
        <f t="shared" si="222"/>
        <v>0</v>
      </c>
      <c r="J772" s="161">
        <f t="shared" si="222"/>
        <v>0</v>
      </c>
      <c r="K772" s="161">
        <f t="shared" si="222"/>
        <v>0</v>
      </c>
      <c r="L772" s="161">
        <f t="shared" si="222"/>
        <v>0</v>
      </c>
      <c r="M772" s="161">
        <f t="shared" si="222"/>
        <v>0</v>
      </c>
      <c r="N772" s="161">
        <f t="shared" si="222"/>
        <v>0</v>
      </c>
      <c r="O772" s="161">
        <f t="shared" si="222"/>
        <v>0</v>
      </c>
      <c r="P772" s="161">
        <f t="shared" si="222"/>
        <v>0</v>
      </c>
      <c r="Q772" s="161">
        <f t="shared" si="222"/>
        <v>0</v>
      </c>
      <c r="AC772" s="54"/>
      <c r="AG772" s="62" t="str">
        <f t="shared" si="221"/>
        <v/>
      </c>
    </row>
    <row r="773" spans="3:33">
      <c r="E773" s="161"/>
      <c r="F773" s="161"/>
      <c r="G773" s="161"/>
      <c r="H773" s="161"/>
      <c r="I773" s="161"/>
      <c r="J773" s="161"/>
      <c r="K773" s="161"/>
      <c r="L773" s="161"/>
      <c r="M773" s="161"/>
      <c r="N773" s="161"/>
      <c r="O773" s="161"/>
      <c r="P773" s="161"/>
      <c r="Q773" s="161"/>
      <c r="AC773" s="54"/>
    </row>
    <row r="774" spans="3:33">
      <c r="C774" s="52" t="s">
        <v>192</v>
      </c>
      <c r="E774" s="161">
        <f>IF(E744=0,0,E415/(SUMPRODUCT(F744:Q744,$F$1120:$Q$1120)/$E$1120*E$1120))</f>
        <v>0.58898131033756729</v>
      </c>
      <c r="F774" s="161">
        <f t="shared" ref="F774:Q774" si="223">IF(F744=0,0,F415/(F744*F$1120))</f>
        <v>0.53110986019891704</v>
      </c>
      <c r="G774" s="161">
        <f t="shared" si="223"/>
        <v>0.14843858882358302</v>
      </c>
      <c r="H774" s="161">
        <f t="shared" si="223"/>
        <v>1.2878900709219859E-2</v>
      </c>
      <c r="I774" s="161">
        <f t="shared" si="223"/>
        <v>0.72988403995915829</v>
      </c>
      <c r="J774" s="161">
        <f t="shared" si="223"/>
        <v>0.79469891328049291</v>
      </c>
      <c r="K774" s="161">
        <f t="shared" si="223"/>
        <v>0.66283202133356867</v>
      </c>
      <c r="L774" s="161">
        <f t="shared" si="223"/>
        <v>0.81186379371127215</v>
      </c>
      <c r="M774" s="161">
        <f t="shared" si="223"/>
        <v>0.7217464223564426</v>
      </c>
      <c r="N774" s="161">
        <f t="shared" si="223"/>
        <v>0.70692109198658137</v>
      </c>
      <c r="O774" s="161">
        <f t="shared" si="223"/>
        <v>0.68567176972251842</v>
      </c>
      <c r="P774" s="161">
        <f t="shared" si="223"/>
        <v>0.64848571258957344</v>
      </c>
      <c r="Q774" s="161">
        <f t="shared" si="223"/>
        <v>0.59808853847731003</v>
      </c>
      <c r="AC774" s="54"/>
      <c r="AG774" s="62">
        <f t="shared" ref="AG774:AG775" si="224">AG744</f>
        <v>0</v>
      </c>
    </row>
    <row r="775" spans="3:33">
      <c r="C775" s="52" t="s">
        <v>255</v>
      </c>
      <c r="E775" s="161">
        <f>IF(E745=0,0,E437/(SUMPRODUCT(F745:Q745,$F$1120:$Q$1120)/$E$1120*E$1120))</f>
        <v>0</v>
      </c>
      <c r="F775" s="161">
        <f t="shared" ref="F775:Q775" si="225">IF(F745=0,0,F437/(F745*F$1120))</f>
        <v>0</v>
      </c>
      <c r="G775" s="161">
        <f t="shared" si="225"/>
        <v>0</v>
      </c>
      <c r="H775" s="161">
        <f t="shared" si="225"/>
        <v>0</v>
      </c>
      <c r="I775" s="161">
        <f t="shared" si="225"/>
        <v>0</v>
      </c>
      <c r="J775" s="161">
        <f t="shared" si="225"/>
        <v>0</v>
      </c>
      <c r="K775" s="161">
        <f t="shared" si="225"/>
        <v>0</v>
      </c>
      <c r="L775" s="161">
        <f t="shared" si="225"/>
        <v>0</v>
      </c>
      <c r="M775" s="161">
        <f t="shared" si="225"/>
        <v>0</v>
      </c>
      <c r="N775" s="161">
        <f t="shared" si="225"/>
        <v>0</v>
      </c>
      <c r="O775" s="161">
        <f t="shared" si="225"/>
        <v>0</v>
      </c>
      <c r="P775" s="161">
        <f t="shared" si="225"/>
        <v>0</v>
      </c>
      <c r="Q775" s="161">
        <f t="shared" si="225"/>
        <v>0</v>
      </c>
      <c r="AC775" s="54"/>
      <c r="AG775" s="62">
        <f t="shared" si="224"/>
        <v>0</v>
      </c>
    </row>
    <row r="776" spans="3:33">
      <c r="E776" s="161"/>
      <c r="F776" s="161"/>
      <c r="G776" s="161"/>
      <c r="H776" s="161"/>
      <c r="I776" s="161"/>
      <c r="J776" s="161"/>
      <c r="K776" s="161"/>
      <c r="L776" s="161"/>
      <c r="M776" s="161"/>
      <c r="N776" s="161"/>
      <c r="O776" s="161"/>
      <c r="P776" s="161"/>
      <c r="Q776" s="161"/>
      <c r="AC776" s="54"/>
    </row>
    <row r="777" spans="3:33">
      <c r="C777" s="52" t="s">
        <v>116</v>
      </c>
      <c r="E777" s="161">
        <f t="shared" ref="E777:E786" si="226">IF(E747=0,0,E589/(SUMPRODUCT(F747:Q747,$F$1120:$Q$1120)/$E$1120*E$1120))</f>
        <v>0.26432198816554286</v>
      </c>
      <c r="F777" s="161">
        <f t="shared" ref="F777:Q786" si="227">IF(F747=0,0,F589/(F747*F$1120))</f>
        <v>1.6923251022803489E-2</v>
      </c>
      <c r="G777" s="161">
        <f t="shared" si="227"/>
        <v>-2.1865645360824742E-3</v>
      </c>
      <c r="H777" s="161">
        <f t="shared" si="227"/>
        <v>-2.1685145530145528E-3</v>
      </c>
      <c r="I777" s="161">
        <f t="shared" si="227"/>
        <v>0.57383099534743898</v>
      </c>
      <c r="J777" s="161">
        <f t="shared" si="227"/>
        <v>0.71989767871060639</v>
      </c>
      <c r="K777" s="161">
        <f t="shared" si="227"/>
        <v>0.48600631433286351</v>
      </c>
      <c r="L777" s="161">
        <f t="shared" si="227"/>
        <v>0.33757609943201522</v>
      </c>
      <c r="M777" s="161">
        <f t="shared" si="227"/>
        <v>0.1491794425706772</v>
      </c>
      <c r="N777" s="161">
        <f t="shared" si="227"/>
        <v>0.29110405904422881</v>
      </c>
      <c r="O777" s="161">
        <f t="shared" si="227"/>
        <v>0.2993314748487903</v>
      </c>
      <c r="P777" s="161">
        <f t="shared" si="227"/>
        <v>0.28349022991452988</v>
      </c>
      <c r="Q777" s="161">
        <f t="shared" si="227"/>
        <v>5.5536658519520096E-2</v>
      </c>
      <c r="AC777" s="54"/>
      <c r="AG777" s="62" t="str">
        <f t="shared" ref="AG777:AG786" si="228">AG747</f>
        <v/>
      </c>
    </row>
    <row r="778" spans="3:33">
      <c r="C778" s="52" t="s">
        <v>466</v>
      </c>
      <c r="E778" s="161">
        <f t="shared" si="226"/>
        <v>0</v>
      </c>
      <c r="F778" s="161">
        <f t="shared" si="227"/>
        <v>0</v>
      </c>
      <c r="G778" s="161">
        <f t="shared" si="227"/>
        <v>0</v>
      </c>
      <c r="H778" s="161">
        <f t="shared" si="227"/>
        <v>0</v>
      </c>
      <c r="I778" s="161">
        <f t="shared" si="227"/>
        <v>0</v>
      </c>
      <c r="J778" s="161">
        <f t="shared" si="227"/>
        <v>0</v>
      </c>
      <c r="K778" s="161">
        <f t="shared" si="227"/>
        <v>0</v>
      </c>
      <c r="L778" s="161">
        <f t="shared" si="227"/>
        <v>0</v>
      </c>
      <c r="M778" s="161">
        <f t="shared" si="227"/>
        <v>0</v>
      </c>
      <c r="N778" s="161">
        <f t="shared" si="227"/>
        <v>0</v>
      </c>
      <c r="O778" s="161">
        <f t="shared" si="227"/>
        <v>0</v>
      </c>
      <c r="P778" s="161">
        <f t="shared" si="227"/>
        <v>0</v>
      </c>
      <c r="Q778" s="161">
        <f t="shared" si="227"/>
        <v>0</v>
      </c>
      <c r="AC778" s="54"/>
      <c r="AG778" s="62" t="str">
        <f t="shared" si="228"/>
        <v>Hide Row</v>
      </c>
    </row>
    <row r="779" spans="3:33">
      <c r="C779" s="52" t="s">
        <v>467</v>
      </c>
      <c r="E779" s="161">
        <f t="shared" si="226"/>
        <v>0</v>
      </c>
      <c r="F779" s="161">
        <f t="shared" si="227"/>
        <v>0</v>
      </c>
      <c r="G779" s="161">
        <f t="shared" si="227"/>
        <v>0</v>
      </c>
      <c r="H779" s="161">
        <f t="shared" si="227"/>
        <v>0</v>
      </c>
      <c r="I779" s="161">
        <f t="shared" si="227"/>
        <v>0</v>
      </c>
      <c r="J779" s="161">
        <f t="shared" si="227"/>
        <v>0</v>
      </c>
      <c r="K779" s="161">
        <f t="shared" si="227"/>
        <v>0</v>
      </c>
      <c r="L779" s="161">
        <f t="shared" si="227"/>
        <v>0</v>
      </c>
      <c r="M779" s="161">
        <f t="shared" si="227"/>
        <v>0</v>
      </c>
      <c r="N779" s="161">
        <f t="shared" si="227"/>
        <v>0</v>
      </c>
      <c r="O779" s="161">
        <f t="shared" si="227"/>
        <v>0</v>
      </c>
      <c r="P779" s="161">
        <f t="shared" si="227"/>
        <v>0</v>
      </c>
      <c r="Q779" s="161">
        <f t="shared" si="227"/>
        <v>0</v>
      </c>
      <c r="AC779" s="54"/>
      <c r="AG779" s="62" t="str">
        <f t="shared" si="228"/>
        <v>Hide Row</v>
      </c>
    </row>
    <row r="780" spans="3:33">
      <c r="C780" s="52" t="s">
        <v>469</v>
      </c>
      <c r="E780" s="161">
        <f t="shared" si="226"/>
        <v>0</v>
      </c>
      <c r="F780" s="161">
        <f t="shared" si="227"/>
        <v>0</v>
      </c>
      <c r="G780" s="161">
        <f t="shared" si="227"/>
        <v>0</v>
      </c>
      <c r="H780" s="161">
        <f t="shared" si="227"/>
        <v>0</v>
      </c>
      <c r="I780" s="161">
        <f t="shared" si="227"/>
        <v>0</v>
      </c>
      <c r="J780" s="161">
        <f t="shared" si="227"/>
        <v>0</v>
      </c>
      <c r="K780" s="161">
        <f t="shared" si="227"/>
        <v>0</v>
      </c>
      <c r="L780" s="161">
        <f t="shared" si="227"/>
        <v>0</v>
      </c>
      <c r="M780" s="161">
        <f t="shared" si="227"/>
        <v>0</v>
      </c>
      <c r="N780" s="161">
        <f t="shared" si="227"/>
        <v>0</v>
      </c>
      <c r="O780" s="161">
        <f t="shared" si="227"/>
        <v>0</v>
      </c>
      <c r="P780" s="161">
        <f t="shared" si="227"/>
        <v>0</v>
      </c>
      <c r="Q780" s="161">
        <f t="shared" si="227"/>
        <v>0</v>
      </c>
      <c r="AC780" s="54"/>
      <c r="AG780" s="62" t="str">
        <f t="shared" si="228"/>
        <v>Hide Row</v>
      </c>
    </row>
    <row r="781" spans="3:33">
      <c r="C781" s="52" t="s">
        <v>470</v>
      </c>
      <c r="E781" s="161">
        <f t="shared" si="226"/>
        <v>0.58898131033756729</v>
      </c>
      <c r="F781" s="161">
        <f t="shared" si="227"/>
        <v>0.53110986019891704</v>
      </c>
      <c r="G781" s="161">
        <f t="shared" si="227"/>
        <v>0.14843858882358302</v>
      </c>
      <c r="H781" s="161">
        <f t="shared" si="227"/>
        <v>1.2878900709219859E-2</v>
      </c>
      <c r="I781" s="161">
        <f t="shared" si="227"/>
        <v>0.72988403995915829</v>
      </c>
      <c r="J781" s="161">
        <f t="shared" si="227"/>
        <v>0.79469891328049291</v>
      </c>
      <c r="K781" s="161">
        <f t="shared" si="227"/>
        <v>0.66283202133356867</v>
      </c>
      <c r="L781" s="161">
        <f t="shared" si="227"/>
        <v>0.81186379371127215</v>
      </c>
      <c r="M781" s="161">
        <f t="shared" si="227"/>
        <v>0.7217464223564426</v>
      </c>
      <c r="N781" s="161">
        <f t="shared" si="227"/>
        <v>0.70692109198658137</v>
      </c>
      <c r="O781" s="161">
        <f t="shared" si="227"/>
        <v>0.68567176972251842</v>
      </c>
      <c r="P781" s="161">
        <f t="shared" si="227"/>
        <v>0.64848571258957344</v>
      </c>
      <c r="Q781" s="161">
        <f t="shared" si="227"/>
        <v>0.59808853847731003</v>
      </c>
      <c r="AC781" s="54"/>
      <c r="AG781" s="62" t="str">
        <f t="shared" si="228"/>
        <v/>
      </c>
    </row>
    <row r="782" spans="3:33">
      <c r="C782" s="52" t="s">
        <v>472</v>
      </c>
      <c r="E782" s="161">
        <f t="shared" si="226"/>
        <v>0</v>
      </c>
      <c r="F782" s="161">
        <f t="shared" si="227"/>
        <v>0</v>
      </c>
      <c r="G782" s="161">
        <f t="shared" si="227"/>
        <v>0</v>
      </c>
      <c r="H782" s="161">
        <f t="shared" si="227"/>
        <v>0</v>
      </c>
      <c r="I782" s="161">
        <f t="shared" si="227"/>
        <v>0</v>
      </c>
      <c r="J782" s="161">
        <f t="shared" si="227"/>
        <v>0</v>
      </c>
      <c r="K782" s="161">
        <f t="shared" si="227"/>
        <v>0</v>
      </c>
      <c r="L782" s="161">
        <f t="shared" si="227"/>
        <v>0</v>
      </c>
      <c r="M782" s="161">
        <f t="shared" si="227"/>
        <v>0</v>
      </c>
      <c r="N782" s="161">
        <f t="shared" si="227"/>
        <v>0</v>
      </c>
      <c r="O782" s="161">
        <f t="shared" si="227"/>
        <v>0</v>
      </c>
      <c r="P782" s="161">
        <f t="shared" si="227"/>
        <v>0</v>
      </c>
      <c r="Q782" s="161">
        <f t="shared" si="227"/>
        <v>0</v>
      </c>
      <c r="AC782" s="54"/>
      <c r="AG782" s="62" t="str">
        <f t="shared" si="228"/>
        <v>Hide Row</v>
      </c>
    </row>
    <row r="783" spans="3:33">
      <c r="C783" s="52" t="s">
        <v>644</v>
      </c>
      <c r="E783" s="161">
        <f t="shared" si="226"/>
        <v>0</v>
      </c>
      <c r="F783" s="161">
        <f t="shared" si="227"/>
        <v>0</v>
      </c>
      <c r="G783" s="161">
        <f t="shared" si="227"/>
        <v>0</v>
      </c>
      <c r="H783" s="161">
        <f t="shared" si="227"/>
        <v>0</v>
      </c>
      <c r="I783" s="161">
        <f t="shared" si="227"/>
        <v>0</v>
      </c>
      <c r="J783" s="161">
        <f t="shared" si="227"/>
        <v>0</v>
      </c>
      <c r="K783" s="161">
        <f t="shared" si="227"/>
        <v>0</v>
      </c>
      <c r="L783" s="161">
        <f t="shared" si="227"/>
        <v>0</v>
      </c>
      <c r="M783" s="161">
        <f t="shared" si="227"/>
        <v>0</v>
      </c>
      <c r="N783" s="161">
        <f t="shared" si="227"/>
        <v>0</v>
      </c>
      <c r="O783" s="161">
        <f t="shared" si="227"/>
        <v>0</v>
      </c>
      <c r="P783" s="161">
        <f t="shared" si="227"/>
        <v>0</v>
      </c>
      <c r="Q783" s="161">
        <f t="shared" si="227"/>
        <v>0</v>
      </c>
      <c r="AC783" s="54"/>
      <c r="AG783" s="62" t="str">
        <f t="shared" si="228"/>
        <v>Hide Row</v>
      </c>
    </row>
    <row r="784" spans="3:33">
      <c r="C784" s="52" t="s">
        <v>473</v>
      </c>
      <c r="E784" s="161">
        <f t="shared" si="226"/>
        <v>0</v>
      </c>
      <c r="F784" s="161">
        <f t="shared" si="227"/>
        <v>0</v>
      </c>
      <c r="G784" s="161">
        <f t="shared" si="227"/>
        <v>0</v>
      </c>
      <c r="H784" s="161">
        <f t="shared" si="227"/>
        <v>0</v>
      </c>
      <c r="I784" s="161">
        <f t="shared" si="227"/>
        <v>0</v>
      </c>
      <c r="J784" s="161">
        <f t="shared" si="227"/>
        <v>0</v>
      </c>
      <c r="K784" s="161">
        <f t="shared" si="227"/>
        <v>0</v>
      </c>
      <c r="L784" s="161">
        <f t="shared" si="227"/>
        <v>0</v>
      </c>
      <c r="M784" s="161">
        <f t="shared" si="227"/>
        <v>0</v>
      </c>
      <c r="N784" s="161">
        <f t="shared" si="227"/>
        <v>0</v>
      </c>
      <c r="O784" s="161">
        <f t="shared" si="227"/>
        <v>0</v>
      </c>
      <c r="P784" s="161">
        <f t="shared" si="227"/>
        <v>0</v>
      </c>
      <c r="Q784" s="161">
        <f t="shared" si="227"/>
        <v>0</v>
      </c>
      <c r="AC784" s="54"/>
      <c r="AG784" s="62" t="str">
        <f t="shared" si="228"/>
        <v>Hide Row</v>
      </c>
    </row>
    <row r="785" spans="3:33">
      <c r="C785" s="52" t="s">
        <v>474</v>
      </c>
      <c r="E785" s="161">
        <f t="shared" si="226"/>
        <v>0</v>
      </c>
      <c r="F785" s="161">
        <f t="shared" si="227"/>
        <v>0</v>
      </c>
      <c r="G785" s="161">
        <f t="shared" si="227"/>
        <v>0</v>
      </c>
      <c r="H785" s="161">
        <f t="shared" si="227"/>
        <v>0</v>
      </c>
      <c r="I785" s="161">
        <f t="shared" si="227"/>
        <v>0</v>
      </c>
      <c r="J785" s="161">
        <f t="shared" si="227"/>
        <v>0</v>
      </c>
      <c r="K785" s="161">
        <f t="shared" si="227"/>
        <v>0</v>
      </c>
      <c r="L785" s="161">
        <f t="shared" si="227"/>
        <v>0</v>
      </c>
      <c r="M785" s="161">
        <f t="shared" si="227"/>
        <v>0</v>
      </c>
      <c r="N785" s="161">
        <f t="shared" si="227"/>
        <v>0</v>
      </c>
      <c r="O785" s="161">
        <f t="shared" si="227"/>
        <v>0</v>
      </c>
      <c r="P785" s="161">
        <f t="shared" si="227"/>
        <v>0</v>
      </c>
      <c r="Q785" s="161">
        <f t="shared" si="227"/>
        <v>0</v>
      </c>
      <c r="AC785" s="54"/>
      <c r="AG785" s="62" t="str">
        <f t="shared" si="228"/>
        <v>Hide Row</v>
      </c>
    </row>
    <row r="786" spans="3:33" hidden="1">
      <c r="C786" s="52" t="s">
        <v>475</v>
      </c>
      <c r="E786" s="161">
        <f t="shared" si="226"/>
        <v>0</v>
      </c>
      <c r="F786" s="161">
        <f t="shared" si="227"/>
        <v>0</v>
      </c>
      <c r="G786" s="161">
        <f t="shared" si="227"/>
        <v>0</v>
      </c>
      <c r="H786" s="161">
        <f t="shared" si="227"/>
        <v>0</v>
      </c>
      <c r="I786" s="161">
        <f t="shared" si="227"/>
        <v>0</v>
      </c>
      <c r="J786" s="161">
        <f t="shared" si="227"/>
        <v>0</v>
      </c>
      <c r="K786" s="161">
        <f t="shared" si="227"/>
        <v>0</v>
      </c>
      <c r="L786" s="161">
        <f t="shared" si="227"/>
        <v>0</v>
      </c>
      <c r="M786" s="161">
        <f t="shared" si="227"/>
        <v>0</v>
      </c>
      <c r="N786" s="161">
        <f t="shared" si="227"/>
        <v>0</v>
      </c>
      <c r="O786" s="161">
        <f t="shared" si="227"/>
        <v>0</v>
      </c>
      <c r="P786" s="161">
        <f t="shared" si="227"/>
        <v>0</v>
      </c>
      <c r="Q786" s="161">
        <f t="shared" si="227"/>
        <v>0</v>
      </c>
      <c r="U786" s="51" t="s">
        <v>574</v>
      </c>
      <c r="AG786" s="62" t="str">
        <f t="shared" si="228"/>
        <v>Hide Row</v>
      </c>
    </row>
    <row r="787" spans="3:33">
      <c r="E787" s="161"/>
      <c r="F787" s="161"/>
      <c r="G787" s="161"/>
      <c r="H787" s="161"/>
      <c r="I787" s="161"/>
      <c r="J787" s="161"/>
      <c r="K787" s="161"/>
      <c r="L787" s="161"/>
      <c r="M787" s="161"/>
      <c r="N787" s="161"/>
      <c r="O787" s="161"/>
      <c r="P787" s="161"/>
      <c r="Q787" s="161"/>
      <c r="X787" s="163"/>
    </row>
    <row r="788" spans="3:33">
      <c r="C788" s="52" t="s">
        <v>495</v>
      </c>
      <c r="E788" s="161">
        <f t="shared" ref="E788:E798" si="229">E614/MAX(SUMIF(F614:Q614,"&gt;0",$F$1120:$Q$1120),1)/W788</f>
        <v>0</v>
      </c>
      <c r="F788" s="161">
        <f t="shared" ref="F788:Q788" si="230">(F803/F$1120)/$W$788</f>
        <v>0</v>
      </c>
      <c r="G788" s="161">
        <f t="shared" si="230"/>
        <v>0</v>
      </c>
      <c r="H788" s="161">
        <f t="shared" si="230"/>
        <v>0</v>
      </c>
      <c r="I788" s="161">
        <f t="shared" si="230"/>
        <v>0</v>
      </c>
      <c r="J788" s="161">
        <f t="shared" si="230"/>
        <v>0</v>
      </c>
      <c r="K788" s="161">
        <f t="shared" si="230"/>
        <v>0</v>
      </c>
      <c r="L788" s="161">
        <f t="shared" si="230"/>
        <v>0</v>
      </c>
      <c r="M788" s="161">
        <f t="shared" si="230"/>
        <v>0</v>
      </c>
      <c r="N788" s="161">
        <f t="shared" si="230"/>
        <v>0</v>
      </c>
      <c r="O788" s="161">
        <f t="shared" si="230"/>
        <v>0</v>
      </c>
      <c r="P788" s="161">
        <f t="shared" si="230"/>
        <v>0</v>
      </c>
      <c r="Q788" s="161">
        <f t="shared" si="230"/>
        <v>0</v>
      </c>
      <c r="U788" s="51" t="str">
        <f>C788</f>
        <v>Dunlap I Wind p524168</v>
      </c>
      <c r="W788" s="164">
        <v>111</v>
      </c>
      <c r="X788" s="163"/>
      <c r="AG788" s="62"/>
    </row>
    <row r="789" spans="3:33">
      <c r="C789" s="52" t="s">
        <v>498</v>
      </c>
      <c r="E789" s="161">
        <f t="shared" si="229"/>
        <v>0</v>
      </c>
      <c r="F789" s="161">
        <f t="shared" ref="F789:Q789" si="231">(F804/F$1120)/$W$789</f>
        <v>0</v>
      </c>
      <c r="G789" s="161">
        <f t="shared" si="231"/>
        <v>0</v>
      </c>
      <c r="H789" s="161">
        <f t="shared" si="231"/>
        <v>0</v>
      </c>
      <c r="I789" s="161">
        <f t="shared" si="231"/>
        <v>0</v>
      </c>
      <c r="J789" s="161">
        <f t="shared" si="231"/>
        <v>0</v>
      </c>
      <c r="K789" s="161">
        <f t="shared" si="231"/>
        <v>0</v>
      </c>
      <c r="L789" s="161">
        <f t="shared" si="231"/>
        <v>0</v>
      </c>
      <c r="M789" s="161">
        <f t="shared" si="231"/>
        <v>0</v>
      </c>
      <c r="N789" s="161">
        <f t="shared" si="231"/>
        <v>0</v>
      </c>
      <c r="O789" s="161">
        <f t="shared" si="231"/>
        <v>0</v>
      </c>
      <c r="P789" s="161">
        <f t="shared" si="231"/>
        <v>0</v>
      </c>
      <c r="Q789" s="161">
        <f t="shared" si="231"/>
        <v>0</v>
      </c>
      <c r="U789" s="51" t="str">
        <f>C789</f>
        <v>Foote Creek I Wind</v>
      </c>
      <c r="W789" s="164">
        <v>32.619999999999997</v>
      </c>
      <c r="X789" s="165"/>
      <c r="AC789" s="54"/>
      <c r="AG789" s="62"/>
    </row>
    <row r="790" spans="3:33">
      <c r="C790" s="52" t="s">
        <v>500</v>
      </c>
      <c r="E790" s="161">
        <f t="shared" si="229"/>
        <v>0</v>
      </c>
      <c r="F790" s="161">
        <f t="shared" ref="F790:Q790" si="232">(F805/F$1120)/$W$790</f>
        <v>0</v>
      </c>
      <c r="G790" s="161">
        <f t="shared" si="232"/>
        <v>0</v>
      </c>
      <c r="H790" s="161">
        <f t="shared" si="232"/>
        <v>0</v>
      </c>
      <c r="I790" s="161">
        <f t="shared" si="232"/>
        <v>0</v>
      </c>
      <c r="J790" s="161">
        <f t="shared" si="232"/>
        <v>0</v>
      </c>
      <c r="K790" s="161">
        <f t="shared" si="232"/>
        <v>0</v>
      </c>
      <c r="L790" s="161">
        <f t="shared" si="232"/>
        <v>0</v>
      </c>
      <c r="M790" s="161">
        <f t="shared" si="232"/>
        <v>0</v>
      </c>
      <c r="N790" s="161">
        <f t="shared" si="232"/>
        <v>0</v>
      </c>
      <c r="O790" s="161">
        <f t="shared" si="232"/>
        <v>0</v>
      </c>
      <c r="P790" s="161">
        <f t="shared" si="232"/>
        <v>0</v>
      </c>
      <c r="Q790" s="161">
        <f t="shared" si="232"/>
        <v>0</v>
      </c>
      <c r="U790" s="51" t="str">
        <f t="shared" ref="U790:U800" si="233">C790</f>
        <v>Glenrock Wind p423461</v>
      </c>
      <c r="W790" s="166">
        <f>99</f>
        <v>99</v>
      </c>
      <c r="X790" s="165"/>
      <c r="AC790" s="54"/>
      <c r="AG790" s="62"/>
    </row>
    <row r="791" spans="3:33">
      <c r="C791" s="52" t="s">
        <v>502</v>
      </c>
      <c r="E791" s="161">
        <f t="shared" si="229"/>
        <v>0</v>
      </c>
      <c r="F791" s="161">
        <f t="shared" ref="F791:Q791" si="234">(F806/F$1120)/$W$791</f>
        <v>0</v>
      </c>
      <c r="G791" s="161">
        <f t="shared" si="234"/>
        <v>0</v>
      </c>
      <c r="H791" s="161">
        <f t="shared" si="234"/>
        <v>0</v>
      </c>
      <c r="I791" s="161">
        <f t="shared" si="234"/>
        <v>0</v>
      </c>
      <c r="J791" s="161">
        <f t="shared" si="234"/>
        <v>0</v>
      </c>
      <c r="K791" s="161">
        <f t="shared" si="234"/>
        <v>0</v>
      </c>
      <c r="L791" s="161">
        <f t="shared" si="234"/>
        <v>0</v>
      </c>
      <c r="M791" s="161">
        <f t="shared" si="234"/>
        <v>0</v>
      </c>
      <c r="N791" s="161">
        <f t="shared" si="234"/>
        <v>0</v>
      </c>
      <c r="O791" s="161">
        <f t="shared" si="234"/>
        <v>0</v>
      </c>
      <c r="P791" s="161">
        <f t="shared" si="234"/>
        <v>0</v>
      </c>
      <c r="Q791" s="161">
        <f t="shared" si="234"/>
        <v>0</v>
      </c>
      <c r="U791" s="51" t="str">
        <f t="shared" si="233"/>
        <v>Glenrock III Wind p454125</v>
      </c>
      <c r="W791" s="166">
        <f>39</f>
        <v>39</v>
      </c>
      <c r="X791" s="165"/>
      <c r="AC791" s="54"/>
      <c r="AG791" s="62"/>
    </row>
    <row r="792" spans="3:33">
      <c r="C792" s="52" t="s">
        <v>504</v>
      </c>
      <c r="E792" s="161">
        <f t="shared" si="229"/>
        <v>0.32401452676619974</v>
      </c>
      <c r="F792" s="161">
        <f t="shared" ref="F792:Q792" si="235">(F847/F$1120)/$W$792</f>
        <v>0.33380960131944443</v>
      </c>
      <c r="G792" s="161">
        <f t="shared" si="235"/>
        <v>0.34909972809911921</v>
      </c>
      <c r="H792" s="161">
        <f t="shared" si="235"/>
        <v>0.41728172078014186</v>
      </c>
      <c r="I792" s="161">
        <f t="shared" si="235"/>
        <v>0.39410171870996341</v>
      </c>
      <c r="J792" s="161">
        <f t="shared" si="235"/>
        <v>0.34258623805193322</v>
      </c>
      <c r="K792" s="161">
        <f t="shared" si="235"/>
        <v>0.2696306881353428</v>
      </c>
      <c r="L792" s="161">
        <f t="shared" si="235"/>
        <v>0.3367775216698124</v>
      </c>
      <c r="M792" s="161">
        <f t="shared" si="235"/>
        <v>0.30794709169621748</v>
      </c>
      <c r="N792" s="161">
        <f t="shared" si="235"/>
        <v>0.2027982246978666</v>
      </c>
      <c r="O792" s="161">
        <f t="shared" si="235"/>
        <v>0.19952608980573669</v>
      </c>
      <c r="P792" s="161">
        <f t="shared" si="235"/>
        <v>0.28834190491073619</v>
      </c>
      <c r="Q792" s="161">
        <f t="shared" si="235"/>
        <v>0.44502430141986959</v>
      </c>
      <c r="U792" s="51" t="str">
        <f t="shared" si="233"/>
        <v>Goodnoe Wind p332427</v>
      </c>
      <c r="W792" s="166">
        <f>94</f>
        <v>94</v>
      </c>
      <c r="X792" s="165"/>
      <c r="AC792" s="54"/>
      <c r="AG792" s="62"/>
    </row>
    <row r="793" spans="3:33">
      <c r="C793" s="52" t="s">
        <v>505</v>
      </c>
      <c r="E793" s="161">
        <f t="shared" si="229"/>
        <v>0</v>
      </c>
      <c r="F793" s="161">
        <f t="shared" ref="F793:Q793" si="236">(F807/F$1120)/$W$793</f>
        <v>0</v>
      </c>
      <c r="G793" s="161">
        <f t="shared" si="236"/>
        <v>0</v>
      </c>
      <c r="H793" s="161">
        <f t="shared" si="236"/>
        <v>0</v>
      </c>
      <c r="I793" s="161">
        <f t="shared" si="236"/>
        <v>0</v>
      </c>
      <c r="J793" s="161">
        <f t="shared" si="236"/>
        <v>0</v>
      </c>
      <c r="K793" s="161">
        <f t="shared" si="236"/>
        <v>0</v>
      </c>
      <c r="L793" s="161">
        <f t="shared" si="236"/>
        <v>0</v>
      </c>
      <c r="M793" s="161">
        <f t="shared" si="236"/>
        <v>0</v>
      </c>
      <c r="N793" s="161">
        <f t="shared" si="236"/>
        <v>0</v>
      </c>
      <c r="O793" s="161">
        <f t="shared" si="236"/>
        <v>0</v>
      </c>
      <c r="P793" s="161">
        <f t="shared" si="236"/>
        <v>0</v>
      </c>
      <c r="Q793" s="161">
        <f t="shared" si="236"/>
        <v>0</v>
      </c>
      <c r="U793" s="51" t="str">
        <f t="shared" si="233"/>
        <v>High Plains Wind p492251</v>
      </c>
      <c r="W793" s="166">
        <f>99</f>
        <v>99</v>
      </c>
      <c r="X793" s="165"/>
      <c r="AC793" s="54"/>
      <c r="AG793" s="62"/>
    </row>
    <row r="794" spans="3:33">
      <c r="C794" s="52" t="s">
        <v>507</v>
      </c>
      <c r="E794" s="161">
        <f t="shared" si="229"/>
        <v>0.34223904493748247</v>
      </c>
      <c r="F794" s="161">
        <f t="shared" ref="F794:Q794" si="237">(F848/F$1120)/$W$794</f>
        <v>0.32298826086580984</v>
      </c>
      <c r="G794" s="161">
        <f t="shared" si="237"/>
        <v>0.4203946386053603</v>
      </c>
      <c r="H794" s="161">
        <f t="shared" si="237"/>
        <v>0.46240680398700945</v>
      </c>
      <c r="I794" s="161">
        <f t="shared" si="237"/>
        <v>0.47478168271545496</v>
      </c>
      <c r="J794" s="161">
        <f t="shared" si="237"/>
        <v>0.40262705647836089</v>
      </c>
      <c r="K794" s="161">
        <f t="shared" si="237"/>
        <v>0.35123842484798229</v>
      </c>
      <c r="L794" s="161">
        <f t="shared" si="237"/>
        <v>0.32159083759294921</v>
      </c>
      <c r="M794" s="161">
        <f t="shared" si="237"/>
        <v>0.24757250375898288</v>
      </c>
      <c r="N794" s="161">
        <f t="shared" si="237"/>
        <v>0.23846364885251164</v>
      </c>
      <c r="O794" s="161">
        <f t="shared" si="237"/>
        <v>0.21345230261809231</v>
      </c>
      <c r="P794" s="161">
        <f t="shared" si="237"/>
        <v>0.25538744695831184</v>
      </c>
      <c r="Q794" s="161">
        <f t="shared" si="237"/>
        <v>0.39085353254159311</v>
      </c>
      <c r="U794" s="51" t="str">
        <f t="shared" si="233"/>
        <v>Leaning Juniper 1 p317714</v>
      </c>
      <c r="W794" s="166">
        <f>100.5</f>
        <v>100.5</v>
      </c>
      <c r="X794" s="165"/>
      <c r="AC794" s="54"/>
      <c r="AG794" s="62"/>
    </row>
    <row r="795" spans="3:33">
      <c r="C795" s="58" t="s">
        <v>508</v>
      </c>
      <c r="D795" s="64"/>
      <c r="E795" s="161">
        <f t="shared" si="229"/>
        <v>0.31974928174910983</v>
      </c>
      <c r="F795" s="161">
        <f t="shared" ref="F795:Q795" si="238">(F808/F$1120)/$W$795</f>
        <v>0.35565864183780466</v>
      </c>
      <c r="G795" s="161">
        <f t="shared" si="238"/>
        <v>0.31907156369694495</v>
      </c>
      <c r="H795" s="161">
        <f t="shared" si="238"/>
        <v>0.32168019614078824</v>
      </c>
      <c r="I795" s="161">
        <f t="shared" si="238"/>
        <v>0.29954225111432775</v>
      </c>
      <c r="J795" s="161">
        <f t="shared" si="238"/>
        <v>0.29068250303472415</v>
      </c>
      <c r="K795" s="161">
        <f t="shared" si="238"/>
        <v>0.29360117414529913</v>
      </c>
      <c r="L795" s="161">
        <f t="shared" si="238"/>
        <v>0.31021589050428111</v>
      </c>
      <c r="M795" s="161">
        <f t="shared" si="238"/>
        <v>0.31325053878600823</v>
      </c>
      <c r="N795" s="161">
        <f t="shared" si="238"/>
        <v>0.32687068467526531</v>
      </c>
      <c r="O795" s="161">
        <f t="shared" si="238"/>
        <v>0.31443396815908081</v>
      </c>
      <c r="P795" s="161">
        <f t="shared" si="238"/>
        <v>0.3568461493475128</v>
      </c>
      <c r="Q795" s="161">
        <f t="shared" si="238"/>
        <v>0.33769869564761207</v>
      </c>
      <c r="U795" s="51" t="str">
        <f t="shared" si="233"/>
        <v>Marengo I Wind p332428</v>
      </c>
      <c r="W795" s="166">
        <f>140.4</f>
        <v>140.4</v>
      </c>
      <c r="X795" s="167"/>
      <c r="Y795" s="163"/>
      <c r="AC795" s="54"/>
      <c r="AG795" s="62"/>
    </row>
    <row r="796" spans="3:33">
      <c r="C796" s="58" t="s">
        <v>511</v>
      </c>
      <c r="D796" s="64"/>
      <c r="E796" s="161">
        <f t="shared" si="229"/>
        <v>0.30470137836045463</v>
      </c>
      <c r="F796" s="161">
        <f t="shared" ref="F796:Q796" si="239">(F809/F$1120)/$W$796</f>
        <v>0.27504954842315604</v>
      </c>
      <c r="G796" s="161">
        <f t="shared" si="239"/>
        <v>0.23646359218687774</v>
      </c>
      <c r="H796" s="161">
        <f t="shared" si="239"/>
        <v>0.3017799105472459</v>
      </c>
      <c r="I796" s="161">
        <f t="shared" si="239"/>
        <v>0.24792895715314156</v>
      </c>
      <c r="J796" s="161">
        <f t="shared" si="239"/>
        <v>0.25084982501799769</v>
      </c>
      <c r="K796" s="161">
        <f t="shared" si="239"/>
        <v>0.24369223928458372</v>
      </c>
      <c r="L796" s="161">
        <f t="shared" si="239"/>
        <v>0.23367224659823699</v>
      </c>
      <c r="M796" s="161">
        <f t="shared" si="239"/>
        <v>0.3302362361764008</v>
      </c>
      <c r="N796" s="161">
        <f t="shared" si="239"/>
        <v>0.26789172032020647</v>
      </c>
      <c r="O796" s="161">
        <f t="shared" si="239"/>
        <v>0.49721161487780685</v>
      </c>
      <c r="P796" s="161">
        <f t="shared" si="239"/>
        <v>0.39426671617013787</v>
      </c>
      <c r="Q796" s="161">
        <f t="shared" si="239"/>
        <v>0.38095725926672636</v>
      </c>
      <c r="U796" s="51" t="str">
        <f>C796</f>
        <v>Marengo II Wind p423463</v>
      </c>
      <c r="W796" s="166">
        <v>70.2</v>
      </c>
      <c r="X796" s="167"/>
      <c r="Y796" s="163"/>
      <c r="AC796" s="54"/>
      <c r="AG796" s="62"/>
    </row>
    <row r="797" spans="3:33">
      <c r="C797" s="58" t="s">
        <v>513</v>
      </c>
      <c r="D797" s="64"/>
      <c r="E797" s="161">
        <f t="shared" si="229"/>
        <v>0</v>
      </c>
      <c r="F797" s="161">
        <f t="shared" ref="F797:Q797" si="240">(F810/F$1120)/$W$797</f>
        <v>0</v>
      </c>
      <c r="G797" s="161">
        <f t="shared" si="240"/>
        <v>0</v>
      </c>
      <c r="H797" s="161">
        <f t="shared" si="240"/>
        <v>0</v>
      </c>
      <c r="I797" s="161">
        <f t="shared" si="240"/>
        <v>0</v>
      </c>
      <c r="J797" s="161">
        <f t="shared" si="240"/>
        <v>0</v>
      </c>
      <c r="K797" s="161">
        <f t="shared" si="240"/>
        <v>0</v>
      </c>
      <c r="L797" s="161">
        <f t="shared" si="240"/>
        <v>0</v>
      </c>
      <c r="M797" s="161">
        <f t="shared" si="240"/>
        <v>0</v>
      </c>
      <c r="N797" s="161">
        <f t="shared" si="240"/>
        <v>0</v>
      </c>
      <c r="O797" s="161">
        <f t="shared" si="240"/>
        <v>0</v>
      </c>
      <c r="P797" s="161">
        <f t="shared" si="240"/>
        <v>0</v>
      </c>
      <c r="Q797" s="161">
        <f t="shared" si="240"/>
        <v>0</v>
      </c>
      <c r="U797" s="51" t="str">
        <f>C797</f>
        <v>McFadden Ridge Wind p492250</v>
      </c>
      <c r="W797" s="166">
        <v>28.5</v>
      </c>
      <c r="X797" s="167"/>
      <c r="Y797" s="163"/>
      <c r="AC797" s="54"/>
      <c r="AG797" s="62"/>
    </row>
    <row r="798" spans="3:33">
      <c r="C798" s="52" t="s">
        <v>515</v>
      </c>
      <c r="E798" s="161">
        <f t="shared" si="229"/>
        <v>0</v>
      </c>
      <c r="F798" s="161">
        <f t="shared" ref="F798:Q798" si="241">(F811/F$1120)/$W$798</f>
        <v>0</v>
      </c>
      <c r="G798" s="161">
        <f t="shared" si="241"/>
        <v>0</v>
      </c>
      <c r="H798" s="161">
        <f t="shared" si="241"/>
        <v>0</v>
      </c>
      <c r="I798" s="161">
        <f t="shared" si="241"/>
        <v>0</v>
      </c>
      <c r="J798" s="161">
        <f t="shared" si="241"/>
        <v>0</v>
      </c>
      <c r="K798" s="161">
        <f t="shared" si="241"/>
        <v>0</v>
      </c>
      <c r="L798" s="161">
        <f t="shared" si="241"/>
        <v>0</v>
      </c>
      <c r="M798" s="161">
        <f t="shared" si="241"/>
        <v>0</v>
      </c>
      <c r="N798" s="161">
        <f t="shared" si="241"/>
        <v>0</v>
      </c>
      <c r="O798" s="161">
        <f t="shared" si="241"/>
        <v>0</v>
      </c>
      <c r="P798" s="161">
        <f t="shared" si="241"/>
        <v>0</v>
      </c>
      <c r="Q798" s="161">
        <f t="shared" si="241"/>
        <v>0</v>
      </c>
      <c r="U798" s="51" t="str">
        <f t="shared" si="233"/>
        <v>Rolling Hills Wind p423462</v>
      </c>
      <c r="W798" s="166">
        <f>99</f>
        <v>99</v>
      </c>
      <c r="X798" s="165"/>
      <c r="AC798" s="54"/>
      <c r="AG798" s="62"/>
    </row>
    <row r="799" spans="3:33">
      <c r="C799" s="52" t="s">
        <v>517</v>
      </c>
      <c r="E799" s="161">
        <f>E629/MAX(SUMIF(F629:Q629,"&gt;0",$F$1120:$Q$1120),1)/W799</f>
        <v>0</v>
      </c>
      <c r="F799" s="161">
        <f t="shared" ref="F799:Q799" si="242">(F812/F$1120)/$W$799</f>
        <v>0</v>
      </c>
      <c r="G799" s="161">
        <f t="shared" si="242"/>
        <v>0</v>
      </c>
      <c r="H799" s="161">
        <f t="shared" si="242"/>
        <v>0</v>
      </c>
      <c r="I799" s="161">
        <f t="shared" si="242"/>
        <v>0</v>
      </c>
      <c r="J799" s="161">
        <f t="shared" si="242"/>
        <v>0</v>
      </c>
      <c r="K799" s="161">
        <f t="shared" si="242"/>
        <v>0</v>
      </c>
      <c r="L799" s="161">
        <f t="shared" si="242"/>
        <v>0</v>
      </c>
      <c r="M799" s="161">
        <f t="shared" si="242"/>
        <v>0</v>
      </c>
      <c r="N799" s="161">
        <f t="shared" si="242"/>
        <v>0</v>
      </c>
      <c r="O799" s="161">
        <f t="shared" si="242"/>
        <v>0</v>
      </c>
      <c r="P799" s="161">
        <f t="shared" si="242"/>
        <v>0</v>
      </c>
      <c r="Q799" s="161">
        <f t="shared" si="242"/>
        <v>0</v>
      </c>
      <c r="U799" s="51" t="str">
        <f t="shared" si="233"/>
        <v>Seven Mile Wind p454126</v>
      </c>
      <c r="W799" s="166">
        <f>99</f>
        <v>99</v>
      </c>
      <c r="X799" s="165"/>
      <c r="AC799" s="54"/>
      <c r="AG799" s="62"/>
    </row>
    <row r="800" spans="3:33">
      <c r="C800" s="52" t="s">
        <v>519</v>
      </c>
      <c r="E800" s="161">
        <f>E630/MAX(SUMIF(F630:Q630,"&gt;0",$F$1120:$Q$1120),1)/W800</f>
        <v>0</v>
      </c>
      <c r="F800" s="161">
        <f t="shared" ref="F800:Q800" si="243">(F813/F$1120)/$W$800</f>
        <v>0</v>
      </c>
      <c r="G800" s="161">
        <f t="shared" si="243"/>
        <v>0</v>
      </c>
      <c r="H800" s="161">
        <f t="shared" si="243"/>
        <v>0</v>
      </c>
      <c r="I800" s="161">
        <f t="shared" si="243"/>
        <v>0</v>
      </c>
      <c r="J800" s="161">
        <f t="shared" si="243"/>
        <v>0</v>
      </c>
      <c r="K800" s="161">
        <f t="shared" si="243"/>
        <v>0</v>
      </c>
      <c r="L800" s="161">
        <f t="shared" si="243"/>
        <v>0</v>
      </c>
      <c r="M800" s="161">
        <f t="shared" si="243"/>
        <v>0</v>
      </c>
      <c r="N800" s="161">
        <f t="shared" si="243"/>
        <v>0</v>
      </c>
      <c r="O800" s="161">
        <f t="shared" si="243"/>
        <v>0</v>
      </c>
      <c r="P800" s="161">
        <f t="shared" si="243"/>
        <v>0</v>
      </c>
      <c r="Q800" s="161">
        <f t="shared" si="243"/>
        <v>0</v>
      </c>
      <c r="U800" s="51" t="str">
        <f t="shared" si="233"/>
        <v>Seven Mile II Wind p357819</v>
      </c>
      <c r="W800" s="166">
        <f>19.5</f>
        <v>19.5</v>
      </c>
      <c r="X800" s="165"/>
      <c r="AC800" s="54"/>
      <c r="AG800" s="62"/>
    </row>
    <row r="801" spans="1:33">
      <c r="E801" s="161"/>
      <c r="F801" s="161"/>
      <c r="G801" s="161"/>
      <c r="H801" s="161"/>
      <c r="I801" s="161"/>
      <c r="J801" s="161"/>
      <c r="K801" s="161"/>
      <c r="L801" s="161"/>
      <c r="M801" s="161"/>
      <c r="N801" s="161"/>
      <c r="O801" s="161"/>
      <c r="P801" s="161"/>
      <c r="Q801" s="161"/>
      <c r="AC801" s="54"/>
      <c r="AG801" s="62"/>
    </row>
    <row r="802" spans="1:33" ht="15.75">
      <c r="A802" s="56" t="s">
        <v>575</v>
      </c>
      <c r="E802" s="151"/>
      <c r="F802" s="151"/>
      <c r="G802" s="151"/>
      <c r="H802" s="151"/>
      <c r="I802" s="151"/>
      <c r="J802" s="151"/>
      <c r="K802" s="151"/>
      <c r="L802" s="151"/>
      <c r="M802" s="151"/>
      <c r="N802" s="151"/>
      <c r="O802" s="151"/>
      <c r="P802" s="151"/>
      <c r="Q802" s="151"/>
      <c r="AC802" s="54"/>
    </row>
    <row r="803" spans="1:33" ht="15.75">
      <c r="A803" s="56"/>
      <c r="C803" s="52" t="s">
        <v>495</v>
      </c>
      <c r="E803" s="168">
        <f>SUM(F803:Q803)</f>
        <v>0</v>
      </c>
      <c r="F803" s="168">
        <f t="shared" ref="F803:Q813" si="244">INDEX($C$608:$Q$633,MATCH($C803,$C$608:$C$633,FALSE),COLUMN(F803)-2)</f>
        <v>0</v>
      </c>
      <c r="G803" s="168">
        <f t="shared" si="244"/>
        <v>0</v>
      </c>
      <c r="H803" s="168">
        <f t="shared" si="244"/>
        <v>0</v>
      </c>
      <c r="I803" s="168">
        <f t="shared" si="244"/>
        <v>0</v>
      </c>
      <c r="J803" s="168">
        <f t="shared" si="244"/>
        <v>0</v>
      </c>
      <c r="K803" s="168">
        <f t="shared" si="244"/>
        <v>0</v>
      </c>
      <c r="L803" s="168">
        <f t="shared" si="244"/>
        <v>0</v>
      </c>
      <c r="M803" s="168">
        <f t="shared" si="244"/>
        <v>0</v>
      </c>
      <c r="N803" s="168">
        <f t="shared" si="244"/>
        <v>0</v>
      </c>
      <c r="O803" s="168">
        <f t="shared" si="244"/>
        <v>0</v>
      </c>
      <c r="P803" s="168">
        <f t="shared" si="244"/>
        <v>0</v>
      </c>
      <c r="Q803" s="168">
        <f t="shared" si="244"/>
        <v>0</v>
      </c>
      <c r="AC803" s="54"/>
      <c r="AG803" s="169" t="str">
        <f>AG614</f>
        <v>Hide Row</v>
      </c>
    </row>
    <row r="804" spans="1:33">
      <c r="C804" s="52" t="s">
        <v>498</v>
      </c>
      <c r="E804" s="168">
        <f t="shared" ref="E804:E813" si="245">SUM(F804:Q804)</f>
        <v>0</v>
      </c>
      <c r="F804" s="168">
        <f t="shared" si="244"/>
        <v>0</v>
      </c>
      <c r="G804" s="168">
        <f t="shared" si="244"/>
        <v>0</v>
      </c>
      <c r="H804" s="168">
        <f t="shared" si="244"/>
        <v>0</v>
      </c>
      <c r="I804" s="168">
        <f t="shared" si="244"/>
        <v>0</v>
      </c>
      <c r="J804" s="168">
        <f t="shared" si="244"/>
        <v>0</v>
      </c>
      <c r="K804" s="168">
        <f t="shared" si="244"/>
        <v>0</v>
      </c>
      <c r="L804" s="168">
        <f t="shared" si="244"/>
        <v>0</v>
      </c>
      <c r="M804" s="168">
        <f t="shared" si="244"/>
        <v>0</v>
      </c>
      <c r="N804" s="168">
        <f t="shared" si="244"/>
        <v>0</v>
      </c>
      <c r="O804" s="168">
        <f t="shared" si="244"/>
        <v>0</v>
      </c>
      <c r="P804" s="168">
        <f t="shared" si="244"/>
        <v>0</v>
      </c>
      <c r="Q804" s="168">
        <f t="shared" si="244"/>
        <v>0</v>
      </c>
      <c r="AC804" s="54"/>
      <c r="AG804" s="169" t="str">
        <f>AG615</f>
        <v>Hide Row</v>
      </c>
    </row>
    <row r="805" spans="1:33">
      <c r="C805" s="52" t="s">
        <v>500</v>
      </c>
      <c r="E805" s="168">
        <f t="shared" si="245"/>
        <v>0</v>
      </c>
      <c r="F805" s="168">
        <f t="shared" si="244"/>
        <v>0</v>
      </c>
      <c r="G805" s="168">
        <f t="shared" si="244"/>
        <v>0</v>
      </c>
      <c r="H805" s="168">
        <f t="shared" si="244"/>
        <v>0</v>
      </c>
      <c r="I805" s="168">
        <f t="shared" si="244"/>
        <v>0</v>
      </c>
      <c r="J805" s="168">
        <f t="shared" si="244"/>
        <v>0</v>
      </c>
      <c r="K805" s="168">
        <f t="shared" si="244"/>
        <v>0</v>
      </c>
      <c r="L805" s="168">
        <f t="shared" si="244"/>
        <v>0</v>
      </c>
      <c r="M805" s="168">
        <f t="shared" si="244"/>
        <v>0</v>
      </c>
      <c r="N805" s="168">
        <f t="shared" si="244"/>
        <v>0</v>
      </c>
      <c r="O805" s="168">
        <f t="shared" si="244"/>
        <v>0</v>
      </c>
      <c r="P805" s="168">
        <f t="shared" si="244"/>
        <v>0</v>
      </c>
      <c r="Q805" s="168">
        <f t="shared" si="244"/>
        <v>0</v>
      </c>
      <c r="AC805" s="54"/>
      <c r="AG805" s="169" t="str">
        <f t="shared" ref="AG805:AG813" si="246">AG616</f>
        <v>Hide Row</v>
      </c>
    </row>
    <row r="806" spans="1:33">
      <c r="C806" s="52" t="s">
        <v>502</v>
      </c>
      <c r="E806" s="168">
        <f t="shared" si="245"/>
        <v>0</v>
      </c>
      <c r="F806" s="168">
        <f t="shared" si="244"/>
        <v>0</v>
      </c>
      <c r="G806" s="168">
        <f t="shared" si="244"/>
        <v>0</v>
      </c>
      <c r="H806" s="168">
        <f t="shared" si="244"/>
        <v>0</v>
      </c>
      <c r="I806" s="168">
        <f t="shared" si="244"/>
        <v>0</v>
      </c>
      <c r="J806" s="168">
        <f t="shared" si="244"/>
        <v>0</v>
      </c>
      <c r="K806" s="168">
        <f t="shared" si="244"/>
        <v>0</v>
      </c>
      <c r="L806" s="168">
        <f t="shared" si="244"/>
        <v>0</v>
      </c>
      <c r="M806" s="168">
        <f t="shared" si="244"/>
        <v>0</v>
      </c>
      <c r="N806" s="168">
        <f t="shared" si="244"/>
        <v>0</v>
      </c>
      <c r="O806" s="168">
        <f t="shared" si="244"/>
        <v>0</v>
      </c>
      <c r="P806" s="168">
        <f t="shared" si="244"/>
        <v>0</v>
      </c>
      <c r="Q806" s="168">
        <f t="shared" si="244"/>
        <v>0</v>
      </c>
      <c r="AC806" s="54"/>
      <c r="AG806" s="169" t="str">
        <f t="shared" si="246"/>
        <v>Hide Row</v>
      </c>
    </row>
    <row r="807" spans="1:33">
      <c r="C807" s="52" t="s">
        <v>505</v>
      </c>
      <c r="E807" s="168">
        <f t="shared" si="245"/>
        <v>0</v>
      </c>
      <c r="F807" s="168">
        <f t="shared" si="244"/>
        <v>0</v>
      </c>
      <c r="G807" s="168">
        <f t="shared" si="244"/>
        <v>0</v>
      </c>
      <c r="H807" s="168">
        <f t="shared" si="244"/>
        <v>0</v>
      </c>
      <c r="I807" s="168">
        <f t="shared" si="244"/>
        <v>0</v>
      </c>
      <c r="J807" s="168">
        <f t="shared" si="244"/>
        <v>0</v>
      </c>
      <c r="K807" s="168">
        <f t="shared" si="244"/>
        <v>0</v>
      </c>
      <c r="L807" s="168">
        <f t="shared" si="244"/>
        <v>0</v>
      </c>
      <c r="M807" s="168">
        <f t="shared" si="244"/>
        <v>0</v>
      </c>
      <c r="N807" s="168">
        <f t="shared" si="244"/>
        <v>0</v>
      </c>
      <c r="O807" s="168">
        <f t="shared" si="244"/>
        <v>0</v>
      </c>
      <c r="P807" s="168">
        <f t="shared" si="244"/>
        <v>0</v>
      </c>
      <c r="Q807" s="168">
        <f t="shared" si="244"/>
        <v>0</v>
      </c>
      <c r="AC807" s="54"/>
      <c r="AG807" s="169" t="str">
        <f t="shared" si="246"/>
        <v/>
      </c>
    </row>
    <row r="808" spans="1:33">
      <c r="C808" s="52" t="s">
        <v>508</v>
      </c>
      <c r="E808" s="168">
        <f t="shared" si="245"/>
        <v>394338.34780013899</v>
      </c>
      <c r="F808" s="168">
        <f t="shared" si="244"/>
        <v>35952.820786099997</v>
      </c>
      <c r="G808" s="168">
        <f t="shared" si="244"/>
        <v>33329.449772029999</v>
      </c>
      <c r="H808" s="168">
        <f t="shared" si="244"/>
        <v>32518.00766748</v>
      </c>
      <c r="I808" s="168">
        <f t="shared" si="244"/>
        <v>31289.464650000002</v>
      </c>
      <c r="J808" s="168">
        <f t="shared" si="244"/>
        <v>30363.996629000001</v>
      </c>
      <c r="K808" s="168">
        <f t="shared" si="244"/>
        <v>29679.555492</v>
      </c>
      <c r="L808" s="168">
        <f t="shared" si="244"/>
        <v>32404.40740394</v>
      </c>
      <c r="M808" s="168">
        <f t="shared" si="244"/>
        <v>31665.870464799998</v>
      </c>
      <c r="N808" s="168">
        <f t="shared" si="244"/>
        <v>34144.127231535</v>
      </c>
      <c r="O808" s="168">
        <f t="shared" si="244"/>
        <v>32845.017672374001</v>
      </c>
      <c r="P808" s="168">
        <f t="shared" si="244"/>
        <v>34870.4347604</v>
      </c>
      <c r="Q808" s="168">
        <f t="shared" si="244"/>
        <v>35275.195270479999</v>
      </c>
      <c r="AC808" s="54"/>
      <c r="AG808" s="169" t="str">
        <f t="shared" si="246"/>
        <v>Hide Row</v>
      </c>
    </row>
    <row r="809" spans="1:33">
      <c r="C809" s="52" t="s">
        <v>511</v>
      </c>
      <c r="E809" s="168">
        <f t="shared" si="245"/>
        <v>187890.08290778002</v>
      </c>
      <c r="F809" s="168">
        <f t="shared" si="244"/>
        <v>13902.104375499999</v>
      </c>
      <c r="G809" s="168">
        <f t="shared" si="244"/>
        <v>12350.20966361</v>
      </c>
      <c r="H809" s="168">
        <f t="shared" si="244"/>
        <v>15253.163798699999</v>
      </c>
      <c r="I809" s="168">
        <f t="shared" si="244"/>
        <v>12949.03191736</v>
      </c>
      <c r="J809" s="168">
        <f t="shared" si="244"/>
        <v>13101.585340899999</v>
      </c>
      <c r="K809" s="168">
        <f t="shared" si="244"/>
        <v>12317.180542399999</v>
      </c>
      <c r="L809" s="168">
        <f t="shared" si="244"/>
        <v>12204.42103313</v>
      </c>
      <c r="M809" s="168">
        <f t="shared" si="244"/>
        <v>16691.460321300001</v>
      </c>
      <c r="N809" s="168">
        <f t="shared" si="244"/>
        <v>13991.66308226</v>
      </c>
      <c r="O809" s="168">
        <f t="shared" si="244"/>
        <v>25968.76599113</v>
      </c>
      <c r="P809" s="168">
        <f t="shared" si="244"/>
        <v>19263.5563387</v>
      </c>
      <c r="Q809" s="168">
        <f t="shared" si="244"/>
        <v>19896.940502789999</v>
      </c>
      <c r="AC809" s="54"/>
      <c r="AG809" s="169" t="str">
        <f t="shared" si="246"/>
        <v/>
      </c>
    </row>
    <row r="810" spans="1:33">
      <c r="C810" s="52" t="s">
        <v>513</v>
      </c>
      <c r="E810" s="168">
        <f t="shared" si="245"/>
        <v>0</v>
      </c>
      <c r="F810" s="168">
        <f t="shared" si="244"/>
        <v>0</v>
      </c>
      <c r="G810" s="168">
        <f t="shared" si="244"/>
        <v>0</v>
      </c>
      <c r="H810" s="168">
        <f t="shared" si="244"/>
        <v>0</v>
      </c>
      <c r="I810" s="168">
        <f t="shared" si="244"/>
        <v>0</v>
      </c>
      <c r="J810" s="168">
        <f t="shared" si="244"/>
        <v>0</v>
      </c>
      <c r="K810" s="168">
        <f t="shared" si="244"/>
        <v>0</v>
      </c>
      <c r="L810" s="168">
        <f t="shared" si="244"/>
        <v>0</v>
      </c>
      <c r="M810" s="168">
        <f t="shared" si="244"/>
        <v>0</v>
      </c>
      <c r="N810" s="168">
        <f t="shared" si="244"/>
        <v>0</v>
      </c>
      <c r="O810" s="168">
        <f t="shared" si="244"/>
        <v>0</v>
      </c>
      <c r="P810" s="168">
        <f t="shared" si="244"/>
        <v>0</v>
      </c>
      <c r="Q810" s="168">
        <f t="shared" si="244"/>
        <v>0</v>
      </c>
      <c r="AC810" s="54"/>
      <c r="AG810" s="169" t="str">
        <f t="shared" si="246"/>
        <v/>
      </c>
    </row>
    <row r="811" spans="1:33">
      <c r="C811" s="52" t="s">
        <v>515</v>
      </c>
      <c r="E811" s="168">
        <f t="shared" si="245"/>
        <v>0</v>
      </c>
      <c r="F811" s="168">
        <f t="shared" si="244"/>
        <v>0</v>
      </c>
      <c r="G811" s="168">
        <f t="shared" si="244"/>
        <v>0</v>
      </c>
      <c r="H811" s="168">
        <f t="shared" si="244"/>
        <v>0</v>
      </c>
      <c r="I811" s="168">
        <f t="shared" si="244"/>
        <v>0</v>
      </c>
      <c r="J811" s="168">
        <f t="shared" si="244"/>
        <v>0</v>
      </c>
      <c r="K811" s="168">
        <f t="shared" si="244"/>
        <v>0</v>
      </c>
      <c r="L811" s="168">
        <f t="shared" si="244"/>
        <v>0</v>
      </c>
      <c r="M811" s="168">
        <f t="shared" si="244"/>
        <v>0</v>
      </c>
      <c r="N811" s="168">
        <f t="shared" si="244"/>
        <v>0</v>
      </c>
      <c r="O811" s="168">
        <f t="shared" si="244"/>
        <v>0</v>
      </c>
      <c r="P811" s="168">
        <f t="shared" si="244"/>
        <v>0</v>
      </c>
      <c r="Q811" s="168">
        <f t="shared" si="244"/>
        <v>0</v>
      </c>
      <c r="AC811" s="54"/>
      <c r="AG811" s="169" t="str">
        <f t="shared" si="246"/>
        <v/>
      </c>
    </row>
    <row r="812" spans="1:33">
      <c r="C812" s="52" t="s">
        <v>517</v>
      </c>
      <c r="E812" s="168">
        <f t="shared" si="245"/>
        <v>0</v>
      </c>
      <c r="F812" s="168">
        <f t="shared" si="244"/>
        <v>0</v>
      </c>
      <c r="G812" s="168">
        <f t="shared" si="244"/>
        <v>0</v>
      </c>
      <c r="H812" s="168">
        <f t="shared" si="244"/>
        <v>0</v>
      </c>
      <c r="I812" s="168">
        <f t="shared" si="244"/>
        <v>0</v>
      </c>
      <c r="J812" s="168">
        <f t="shared" si="244"/>
        <v>0</v>
      </c>
      <c r="K812" s="168">
        <f t="shared" si="244"/>
        <v>0</v>
      </c>
      <c r="L812" s="168">
        <f t="shared" si="244"/>
        <v>0</v>
      </c>
      <c r="M812" s="168">
        <f t="shared" si="244"/>
        <v>0</v>
      </c>
      <c r="N812" s="168">
        <f t="shared" si="244"/>
        <v>0</v>
      </c>
      <c r="O812" s="168">
        <f t="shared" si="244"/>
        <v>0</v>
      </c>
      <c r="P812" s="168">
        <f t="shared" si="244"/>
        <v>0</v>
      </c>
      <c r="Q812" s="168">
        <f t="shared" si="244"/>
        <v>0</v>
      </c>
      <c r="AC812" s="54"/>
      <c r="AG812" s="169" t="str">
        <f t="shared" si="246"/>
        <v>Hide Row</v>
      </c>
    </row>
    <row r="813" spans="1:33">
      <c r="C813" s="52" t="s">
        <v>519</v>
      </c>
      <c r="E813" s="168">
        <f t="shared" si="245"/>
        <v>0</v>
      </c>
      <c r="F813" s="168">
        <f t="shared" si="244"/>
        <v>0</v>
      </c>
      <c r="G813" s="168">
        <f t="shared" si="244"/>
        <v>0</v>
      </c>
      <c r="H813" s="168">
        <f t="shared" si="244"/>
        <v>0</v>
      </c>
      <c r="I813" s="168">
        <f t="shared" si="244"/>
        <v>0</v>
      </c>
      <c r="J813" s="168">
        <f t="shared" si="244"/>
        <v>0</v>
      </c>
      <c r="K813" s="168">
        <f t="shared" si="244"/>
        <v>0</v>
      </c>
      <c r="L813" s="168">
        <f t="shared" si="244"/>
        <v>0</v>
      </c>
      <c r="M813" s="168">
        <f t="shared" si="244"/>
        <v>0</v>
      </c>
      <c r="N813" s="168">
        <f t="shared" si="244"/>
        <v>0</v>
      </c>
      <c r="O813" s="168">
        <f t="shared" si="244"/>
        <v>0</v>
      </c>
      <c r="P813" s="168">
        <f t="shared" si="244"/>
        <v>0</v>
      </c>
      <c r="Q813" s="168">
        <f t="shared" si="244"/>
        <v>0</v>
      </c>
      <c r="AC813" s="54"/>
      <c r="AG813" s="169" t="str">
        <f t="shared" si="246"/>
        <v>Hide Row</v>
      </c>
    </row>
    <row r="814" spans="1:33">
      <c r="E814" s="168"/>
      <c r="F814" s="168"/>
      <c r="G814" s="168"/>
      <c r="H814" s="168"/>
      <c r="I814" s="168"/>
      <c r="J814" s="168"/>
      <c r="K814" s="168"/>
      <c r="L814" s="168"/>
      <c r="M814" s="168"/>
      <c r="N814" s="168"/>
      <c r="O814" s="168"/>
      <c r="P814" s="168"/>
      <c r="Q814" s="168"/>
      <c r="AC814" s="54"/>
      <c r="AG814" s="58"/>
    </row>
    <row r="815" spans="1:33">
      <c r="C815" s="85" t="s">
        <v>178</v>
      </c>
      <c r="E815" s="168">
        <f>SUM(F815:Q815)</f>
        <v>111750.85207048099</v>
      </c>
      <c r="F815" s="168">
        <f t="shared" ref="F815:Q819" si="247">INDEX($C$399:$Q$441,MATCH($C815,$C$399:$C$441,FALSE),COLUMN(F815)-2)</f>
        <v>8676.5401856999997</v>
      </c>
      <c r="G815" s="168">
        <f t="shared" si="247"/>
        <v>8065.333417631</v>
      </c>
      <c r="H815" s="168">
        <f t="shared" si="247"/>
        <v>9720.0000338699992</v>
      </c>
      <c r="I815" s="168">
        <f t="shared" si="247"/>
        <v>9316.9998783600004</v>
      </c>
      <c r="J815" s="168">
        <f t="shared" si="247"/>
        <v>9239.6664086000001</v>
      </c>
      <c r="K815" s="168">
        <f t="shared" si="247"/>
        <v>8806.0001262000005</v>
      </c>
      <c r="L815" s="168">
        <f t="shared" si="247"/>
        <v>9455.4272014399994</v>
      </c>
      <c r="M815" s="168">
        <f t="shared" si="247"/>
        <v>10547.333349299999</v>
      </c>
      <c r="N815" s="168">
        <f t="shared" si="247"/>
        <v>7685.6666231899999</v>
      </c>
      <c r="O815" s="168">
        <f t="shared" si="247"/>
        <v>10686.00004232</v>
      </c>
      <c r="P815" s="168">
        <f t="shared" si="247"/>
        <v>7196.2181833200002</v>
      </c>
      <c r="Q815" s="168">
        <f t="shared" si="247"/>
        <v>12355.666620550001</v>
      </c>
      <c r="AC815" s="54"/>
      <c r="AG815" s="170" t="str">
        <f>AG406</f>
        <v/>
      </c>
    </row>
    <row r="816" spans="1:33">
      <c r="C816" s="85" t="s">
        <v>239</v>
      </c>
      <c r="E816" s="168">
        <f>SUM(F816:Q816)</f>
        <v>0</v>
      </c>
      <c r="F816" s="168">
        <f t="shared" si="247"/>
        <v>0</v>
      </c>
      <c r="G816" s="168">
        <f t="shared" si="247"/>
        <v>0</v>
      </c>
      <c r="H816" s="168">
        <f t="shared" si="247"/>
        <v>0</v>
      </c>
      <c r="I816" s="168">
        <f t="shared" si="247"/>
        <v>0</v>
      </c>
      <c r="J816" s="168">
        <f t="shared" si="247"/>
        <v>0</v>
      </c>
      <c r="K816" s="168">
        <f t="shared" si="247"/>
        <v>0</v>
      </c>
      <c r="L816" s="168">
        <f t="shared" si="247"/>
        <v>0</v>
      </c>
      <c r="M816" s="168">
        <f t="shared" si="247"/>
        <v>0</v>
      </c>
      <c r="N816" s="168">
        <f t="shared" si="247"/>
        <v>0</v>
      </c>
      <c r="O816" s="168">
        <f t="shared" si="247"/>
        <v>0</v>
      </c>
      <c r="P816" s="168">
        <f t="shared" si="247"/>
        <v>0</v>
      </c>
      <c r="Q816" s="168">
        <f t="shared" si="247"/>
        <v>0</v>
      </c>
      <c r="AC816" s="54"/>
      <c r="AG816" s="170" t="str">
        <f>AG430</f>
        <v>Hide Row</v>
      </c>
    </row>
    <row r="817" spans="3:33">
      <c r="C817" s="85" t="s">
        <v>247</v>
      </c>
      <c r="E817" s="168">
        <f>SUM(F817:Q817)</f>
        <v>0</v>
      </c>
      <c r="F817" s="168">
        <f t="shared" si="247"/>
        <v>0</v>
      </c>
      <c r="G817" s="168">
        <f t="shared" si="247"/>
        <v>0</v>
      </c>
      <c r="H817" s="168">
        <f t="shared" si="247"/>
        <v>0</v>
      </c>
      <c r="I817" s="168">
        <f t="shared" si="247"/>
        <v>0</v>
      </c>
      <c r="J817" s="168">
        <f t="shared" si="247"/>
        <v>0</v>
      </c>
      <c r="K817" s="168">
        <f t="shared" si="247"/>
        <v>0</v>
      </c>
      <c r="L817" s="168">
        <f t="shared" si="247"/>
        <v>0</v>
      </c>
      <c r="M817" s="168">
        <f t="shared" si="247"/>
        <v>0</v>
      </c>
      <c r="N817" s="168">
        <f t="shared" si="247"/>
        <v>0</v>
      </c>
      <c r="O817" s="168">
        <f t="shared" si="247"/>
        <v>0</v>
      </c>
      <c r="P817" s="168">
        <f t="shared" si="247"/>
        <v>0</v>
      </c>
      <c r="Q817" s="168">
        <f t="shared" si="247"/>
        <v>0</v>
      </c>
      <c r="AC817" s="54"/>
      <c r="AG817" s="170" t="str">
        <f>AG434</f>
        <v>Hide Row</v>
      </c>
    </row>
    <row r="818" spans="3:33">
      <c r="C818" s="85" t="s">
        <v>251</v>
      </c>
      <c r="E818" s="168">
        <f>SUM(F818:Q818)</f>
        <v>0</v>
      </c>
      <c r="F818" s="168">
        <f t="shared" si="247"/>
        <v>0</v>
      </c>
      <c r="G818" s="168">
        <f t="shared" si="247"/>
        <v>0</v>
      </c>
      <c r="H818" s="168">
        <f t="shared" si="247"/>
        <v>0</v>
      </c>
      <c r="I818" s="168">
        <f t="shared" si="247"/>
        <v>0</v>
      </c>
      <c r="J818" s="168">
        <f t="shared" si="247"/>
        <v>0</v>
      </c>
      <c r="K818" s="168">
        <f t="shared" si="247"/>
        <v>0</v>
      </c>
      <c r="L818" s="168">
        <f t="shared" si="247"/>
        <v>0</v>
      </c>
      <c r="M818" s="168">
        <f t="shared" si="247"/>
        <v>0</v>
      </c>
      <c r="N818" s="168">
        <f t="shared" si="247"/>
        <v>0</v>
      </c>
      <c r="O818" s="168">
        <f t="shared" si="247"/>
        <v>0</v>
      </c>
      <c r="P818" s="168">
        <f t="shared" si="247"/>
        <v>0</v>
      </c>
      <c r="Q818" s="168">
        <f t="shared" si="247"/>
        <v>0</v>
      </c>
      <c r="AC818" s="54"/>
      <c r="AG818" s="170" t="str">
        <f>AG435</f>
        <v>Hide Row</v>
      </c>
    </row>
    <row r="819" spans="3:33">
      <c r="C819" s="85" t="s">
        <v>257</v>
      </c>
      <c r="E819" s="168">
        <f>SUM(F819:Q819)</f>
        <v>0</v>
      </c>
      <c r="F819" s="168">
        <f t="shared" si="247"/>
        <v>0</v>
      </c>
      <c r="G819" s="168">
        <f t="shared" si="247"/>
        <v>0</v>
      </c>
      <c r="H819" s="168">
        <f t="shared" si="247"/>
        <v>0</v>
      </c>
      <c r="I819" s="168">
        <f t="shared" si="247"/>
        <v>0</v>
      </c>
      <c r="J819" s="168">
        <f t="shared" si="247"/>
        <v>0</v>
      </c>
      <c r="K819" s="168">
        <f t="shared" si="247"/>
        <v>0</v>
      </c>
      <c r="L819" s="168">
        <f t="shared" si="247"/>
        <v>0</v>
      </c>
      <c r="M819" s="168">
        <f t="shared" si="247"/>
        <v>0</v>
      </c>
      <c r="N819" s="168">
        <f t="shared" si="247"/>
        <v>0</v>
      </c>
      <c r="O819" s="168">
        <f t="shared" si="247"/>
        <v>0</v>
      </c>
      <c r="P819" s="168">
        <f t="shared" si="247"/>
        <v>0</v>
      </c>
      <c r="Q819" s="168">
        <f t="shared" si="247"/>
        <v>0</v>
      </c>
      <c r="AC819" s="54"/>
      <c r="AG819" s="170" t="str">
        <f>AG439</f>
        <v>Hide Row</v>
      </c>
    </row>
    <row r="820" spans="3:33">
      <c r="C820" s="85"/>
      <c r="E820" s="168"/>
      <c r="F820" s="168"/>
      <c r="G820" s="168"/>
      <c r="H820" s="168"/>
      <c r="I820" s="168"/>
      <c r="J820" s="168"/>
      <c r="K820" s="168"/>
      <c r="L820" s="168"/>
      <c r="M820" s="168"/>
      <c r="N820" s="168"/>
      <c r="O820" s="168"/>
      <c r="P820" s="168"/>
      <c r="Q820" s="168"/>
      <c r="U820" s="41" t="s">
        <v>531</v>
      </c>
      <c r="AC820" s="54"/>
      <c r="AG820" s="91"/>
    </row>
    <row r="821" spans="3:33">
      <c r="C821" s="85" t="s">
        <v>381</v>
      </c>
      <c r="E821" s="168">
        <f t="shared" ref="E821:E824" si="248">SUM(F821:Q821)</f>
        <v>0</v>
      </c>
      <c r="F821" s="92">
        <v>0</v>
      </c>
      <c r="G821" s="92">
        <v>0</v>
      </c>
      <c r="H821" s="92">
        <v>0</v>
      </c>
      <c r="I821" s="92">
        <v>0</v>
      </c>
      <c r="J821" s="92">
        <v>0</v>
      </c>
      <c r="K821" s="92">
        <v>0</v>
      </c>
      <c r="L821" s="92">
        <v>0</v>
      </c>
      <c r="M821" s="92">
        <v>0</v>
      </c>
      <c r="N821" s="92">
        <v>0</v>
      </c>
      <c r="O821" s="92">
        <v>0</v>
      </c>
      <c r="P821" s="92">
        <v>0</v>
      </c>
      <c r="Q821" s="92">
        <v>0</v>
      </c>
      <c r="U821" s="60" t="e">
        <v>#N/A</v>
      </c>
      <c r="V821" s="51" t="str">
        <f>C821</f>
        <v>BPA FC II Generation</v>
      </c>
      <c r="W821" s="60" t="e">
        <v>#N/A</v>
      </c>
      <c r="X821" s="51">
        <v>0</v>
      </c>
      <c r="Y821" s="60" t="e">
        <v>#N/A</v>
      </c>
      <c r="Z821" s="51">
        <v>0</v>
      </c>
      <c r="AC821" s="54"/>
      <c r="AG821" s="91"/>
    </row>
    <row r="822" spans="3:33">
      <c r="C822" s="85" t="s">
        <v>384</v>
      </c>
      <c r="E822" s="168">
        <f t="shared" si="248"/>
        <v>0</v>
      </c>
      <c r="F822" s="92">
        <v>0</v>
      </c>
      <c r="G822" s="92">
        <v>0</v>
      </c>
      <c r="H822" s="92">
        <v>0</v>
      </c>
      <c r="I822" s="92">
        <v>0</v>
      </c>
      <c r="J822" s="92">
        <v>0</v>
      </c>
      <c r="K822" s="92">
        <v>0</v>
      </c>
      <c r="L822" s="92">
        <v>0</v>
      </c>
      <c r="M822" s="92">
        <v>0</v>
      </c>
      <c r="N822" s="92">
        <v>0</v>
      </c>
      <c r="O822" s="92">
        <v>0</v>
      </c>
      <c r="P822" s="92">
        <v>0</v>
      </c>
      <c r="Q822" s="92">
        <v>0</v>
      </c>
      <c r="U822" s="60" t="e">
        <v>#N/A</v>
      </c>
      <c r="V822" s="51" t="str">
        <f>C822</f>
        <v>BPA FC IV Generation</v>
      </c>
      <c r="W822" s="60" t="e">
        <v>#N/A</v>
      </c>
      <c r="X822" s="51">
        <v>0</v>
      </c>
      <c r="Y822" s="60" t="e">
        <v>#N/A</v>
      </c>
      <c r="Z822" s="51">
        <v>0</v>
      </c>
      <c r="AC822" s="54"/>
      <c r="AG822" s="91"/>
    </row>
    <row r="823" spans="3:33">
      <c r="C823" s="85" t="s">
        <v>404</v>
      </c>
      <c r="E823" s="168">
        <f t="shared" si="248"/>
        <v>0</v>
      </c>
      <c r="F823" s="92">
        <v>0</v>
      </c>
      <c r="G823" s="92">
        <v>0</v>
      </c>
      <c r="H823" s="92">
        <v>0</v>
      </c>
      <c r="I823" s="92">
        <v>0</v>
      </c>
      <c r="J823" s="92">
        <v>0</v>
      </c>
      <c r="K823" s="92">
        <v>0</v>
      </c>
      <c r="L823" s="92">
        <v>0</v>
      </c>
      <c r="M823" s="92">
        <v>0</v>
      </c>
      <c r="N823" s="92">
        <v>0</v>
      </c>
      <c r="O823" s="92">
        <v>0</v>
      </c>
      <c r="P823" s="92">
        <v>0</v>
      </c>
      <c r="Q823" s="92">
        <v>0</v>
      </c>
      <c r="U823" s="60" t="e">
        <v>#N/A</v>
      </c>
      <c r="V823" s="51" t="str">
        <f>C823</f>
        <v>EWEB FC I Generation</v>
      </c>
      <c r="W823" s="60" t="e">
        <v>#N/A</v>
      </c>
      <c r="X823" s="51">
        <v>0</v>
      </c>
      <c r="Y823" s="60" t="e">
        <v>#N/A</v>
      </c>
      <c r="Z823" s="51">
        <v>0</v>
      </c>
      <c r="AC823" s="54"/>
      <c r="AG823" s="91"/>
    </row>
    <row r="824" spans="3:33">
      <c r="C824" s="85" t="s">
        <v>411</v>
      </c>
      <c r="E824" s="168">
        <f t="shared" si="248"/>
        <v>0</v>
      </c>
      <c r="F824" s="92">
        <v>0</v>
      </c>
      <c r="G824" s="92">
        <v>0</v>
      </c>
      <c r="H824" s="92">
        <v>0</v>
      </c>
      <c r="I824" s="92">
        <v>0</v>
      </c>
      <c r="J824" s="92">
        <v>0</v>
      </c>
      <c r="K824" s="92">
        <v>0</v>
      </c>
      <c r="L824" s="92">
        <v>0</v>
      </c>
      <c r="M824" s="92">
        <v>0</v>
      </c>
      <c r="N824" s="92">
        <v>0</v>
      </c>
      <c r="O824" s="92">
        <v>0</v>
      </c>
      <c r="P824" s="92">
        <v>0</v>
      </c>
      <c r="Q824" s="92">
        <v>0</v>
      </c>
      <c r="U824" s="60" t="e">
        <v>#N/A</v>
      </c>
      <c r="V824" s="51" t="str">
        <f>C824</f>
        <v>PSCo FC III Generation</v>
      </c>
      <c r="W824" s="60" t="e">
        <v>#N/A</v>
      </c>
      <c r="X824" s="51">
        <v>0</v>
      </c>
      <c r="Y824" s="60" t="e">
        <v>#N/A</v>
      </c>
      <c r="Z824" s="51">
        <v>0</v>
      </c>
      <c r="AC824" s="54"/>
      <c r="AG824" s="91"/>
    </row>
    <row r="825" spans="3:33">
      <c r="C825" s="85" t="s">
        <v>576</v>
      </c>
      <c r="E825" s="168">
        <f t="shared" ref="E825" si="249">SUM(F825:Q825)</f>
        <v>377597.80173819594</v>
      </c>
      <c r="F825" s="92">
        <v>31948.09278725</v>
      </c>
      <c r="G825" s="92">
        <v>33785.507174999999</v>
      </c>
      <c r="H825" s="92">
        <v>35844.533534000002</v>
      </c>
      <c r="I825" s="92">
        <v>30377.145925590001</v>
      </c>
      <c r="J825" s="92">
        <v>28241.013795710001</v>
      </c>
      <c r="K825" s="92">
        <v>26099.058893000001</v>
      </c>
      <c r="L825" s="92">
        <v>28579.777245720001</v>
      </c>
      <c r="M825" s="92">
        <v>33040.163206099998</v>
      </c>
      <c r="N825" s="92">
        <v>27836.471854740001</v>
      </c>
      <c r="O825" s="92">
        <v>33761.464212810999</v>
      </c>
      <c r="P825" s="92">
        <v>23251.639124500001</v>
      </c>
      <c r="Q825" s="92">
        <v>44832.933983775001</v>
      </c>
      <c r="U825" s="60">
        <v>22</v>
      </c>
      <c r="V825" s="51" t="s">
        <v>417</v>
      </c>
      <c r="W825" s="60" t="e">
        <v>#N/A</v>
      </c>
      <c r="X825" s="51">
        <v>0</v>
      </c>
      <c r="Y825" s="60" t="e">
        <v>#N/A</v>
      </c>
      <c r="Z825" s="51">
        <v>0</v>
      </c>
      <c r="AC825" s="54"/>
      <c r="AG825" s="91"/>
    </row>
    <row r="826" spans="3:33" ht="13.5" customHeight="1">
      <c r="C826" s="171"/>
      <c r="E826" s="168"/>
      <c r="F826" s="172"/>
      <c r="G826" s="172"/>
      <c r="H826" s="172"/>
      <c r="I826" s="172"/>
      <c r="J826" s="172"/>
      <c r="K826" s="172"/>
      <c r="L826" s="172"/>
      <c r="M826" s="172"/>
      <c r="N826" s="172"/>
      <c r="O826" s="172"/>
      <c r="P826" s="172"/>
      <c r="Q826" s="172"/>
      <c r="AC826" s="54"/>
      <c r="AG826" s="91"/>
    </row>
    <row r="827" spans="3:33" ht="13.5" customHeight="1">
      <c r="C827" s="85" t="s">
        <v>302</v>
      </c>
      <c r="E827" s="168">
        <f t="shared" ref="E827:E828" si="250">SUM(F827:Q827)</f>
        <v>0</v>
      </c>
      <c r="F827" s="168">
        <f t="shared" ref="F827:Q842" si="251">INDEX($C$454:$Q$493,MATCH($C827,$C$454:$C$493,FALSE),COLUMN(F827)-2)</f>
        <v>0</v>
      </c>
      <c r="G827" s="168">
        <f t="shared" si="251"/>
        <v>0</v>
      </c>
      <c r="H827" s="168">
        <f t="shared" si="251"/>
        <v>0</v>
      </c>
      <c r="I827" s="168">
        <f t="shared" si="251"/>
        <v>0</v>
      </c>
      <c r="J827" s="168">
        <f t="shared" si="251"/>
        <v>0</v>
      </c>
      <c r="K827" s="168">
        <f t="shared" si="251"/>
        <v>0</v>
      </c>
      <c r="L827" s="168">
        <f t="shared" si="251"/>
        <v>0</v>
      </c>
      <c r="M827" s="168">
        <f t="shared" si="251"/>
        <v>0</v>
      </c>
      <c r="N827" s="168">
        <f t="shared" si="251"/>
        <v>0</v>
      </c>
      <c r="O827" s="168">
        <f t="shared" si="251"/>
        <v>0</v>
      </c>
      <c r="P827" s="168">
        <f t="shared" si="251"/>
        <v>0</v>
      </c>
      <c r="Q827" s="168">
        <f t="shared" si="251"/>
        <v>0</v>
      </c>
      <c r="AC827" s="54"/>
      <c r="AG827" s="91"/>
    </row>
    <row r="828" spans="3:33">
      <c r="C828" s="85" t="s">
        <v>307</v>
      </c>
      <c r="E828" s="168">
        <f t="shared" si="250"/>
        <v>0</v>
      </c>
      <c r="F828" s="168">
        <f t="shared" si="251"/>
        <v>0</v>
      </c>
      <c r="G828" s="168">
        <f t="shared" si="251"/>
        <v>0</v>
      </c>
      <c r="H828" s="168">
        <f t="shared" si="251"/>
        <v>0</v>
      </c>
      <c r="I828" s="168">
        <f t="shared" si="251"/>
        <v>0</v>
      </c>
      <c r="J828" s="168">
        <f t="shared" si="251"/>
        <v>0</v>
      </c>
      <c r="K828" s="168">
        <f t="shared" si="251"/>
        <v>0</v>
      </c>
      <c r="L828" s="168">
        <f t="shared" si="251"/>
        <v>0</v>
      </c>
      <c r="M828" s="168">
        <f t="shared" si="251"/>
        <v>0</v>
      </c>
      <c r="N828" s="168">
        <f t="shared" si="251"/>
        <v>0</v>
      </c>
      <c r="O828" s="168">
        <f t="shared" si="251"/>
        <v>0</v>
      </c>
      <c r="P828" s="168">
        <f t="shared" si="251"/>
        <v>0</v>
      </c>
      <c r="Q828" s="168">
        <f t="shared" si="251"/>
        <v>0</v>
      </c>
      <c r="AC828" s="54"/>
      <c r="AG828" s="170" t="str">
        <f>AG471</f>
        <v>Hide Row</v>
      </c>
    </row>
    <row r="829" spans="3:33">
      <c r="C829" s="85" t="s">
        <v>308</v>
      </c>
      <c r="E829" s="168">
        <f t="shared" ref="E829:E844" si="252">SUM(F829:Q829)</f>
        <v>0</v>
      </c>
      <c r="F829" s="168">
        <f t="shared" si="251"/>
        <v>0</v>
      </c>
      <c r="G829" s="168">
        <f t="shared" si="251"/>
        <v>0</v>
      </c>
      <c r="H829" s="168">
        <f t="shared" si="251"/>
        <v>0</v>
      </c>
      <c r="I829" s="168">
        <f t="shared" si="251"/>
        <v>0</v>
      </c>
      <c r="J829" s="168">
        <f t="shared" si="251"/>
        <v>0</v>
      </c>
      <c r="K829" s="168">
        <f t="shared" si="251"/>
        <v>0</v>
      </c>
      <c r="L829" s="168">
        <f t="shared" si="251"/>
        <v>0</v>
      </c>
      <c r="M829" s="168">
        <f t="shared" si="251"/>
        <v>0</v>
      </c>
      <c r="N829" s="168">
        <f t="shared" si="251"/>
        <v>0</v>
      </c>
      <c r="O829" s="168">
        <f t="shared" si="251"/>
        <v>0</v>
      </c>
      <c r="P829" s="168">
        <f t="shared" si="251"/>
        <v>0</v>
      </c>
      <c r="Q829" s="168">
        <f t="shared" si="251"/>
        <v>0</v>
      </c>
      <c r="AC829" s="54"/>
      <c r="AG829" s="170" t="str">
        <f>AG472</f>
        <v>Hide Row</v>
      </c>
    </row>
    <row r="830" spans="3:33">
      <c r="C830" s="85" t="s">
        <v>320</v>
      </c>
      <c r="E830" s="168">
        <f t="shared" si="252"/>
        <v>0</v>
      </c>
      <c r="F830" s="168">
        <f t="shared" si="251"/>
        <v>0</v>
      </c>
      <c r="G830" s="168">
        <f t="shared" si="251"/>
        <v>0</v>
      </c>
      <c r="H830" s="168">
        <f t="shared" si="251"/>
        <v>0</v>
      </c>
      <c r="I830" s="168">
        <f t="shared" si="251"/>
        <v>0</v>
      </c>
      <c r="J830" s="168">
        <f t="shared" si="251"/>
        <v>0</v>
      </c>
      <c r="K830" s="168">
        <f t="shared" si="251"/>
        <v>0</v>
      </c>
      <c r="L830" s="168">
        <f t="shared" si="251"/>
        <v>0</v>
      </c>
      <c r="M830" s="168">
        <f t="shared" si="251"/>
        <v>0</v>
      </c>
      <c r="N830" s="168">
        <f t="shared" si="251"/>
        <v>0</v>
      </c>
      <c r="O830" s="168">
        <f t="shared" si="251"/>
        <v>0</v>
      </c>
      <c r="P830" s="168">
        <f t="shared" si="251"/>
        <v>0</v>
      </c>
      <c r="Q830" s="168">
        <f t="shared" si="251"/>
        <v>0</v>
      </c>
      <c r="AC830" s="54"/>
      <c r="AG830" s="170" t="str">
        <f>AG476</f>
        <v>Hide Row</v>
      </c>
    </row>
    <row r="831" spans="3:33">
      <c r="C831" s="85" t="s">
        <v>324</v>
      </c>
      <c r="E831" s="168">
        <f t="shared" si="252"/>
        <v>0</v>
      </c>
      <c r="F831" s="168">
        <f t="shared" si="251"/>
        <v>0</v>
      </c>
      <c r="G831" s="168">
        <f t="shared" si="251"/>
        <v>0</v>
      </c>
      <c r="H831" s="168">
        <f t="shared" si="251"/>
        <v>0</v>
      </c>
      <c r="I831" s="168">
        <f t="shared" si="251"/>
        <v>0</v>
      </c>
      <c r="J831" s="168">
        <f t="shared" si="251"/>
        <v>0</v>
      </c>
      <c r="K831" s="168">
        <f t="shared" si="251"/>
        <v>0</v>
      </c>
      <c r="L831" s="168">
        <f t="shared" si="251"/>
        <v>0</v>
      </c>
      <c r="M831" s="168">
        <f t="shared" si="251"/>
        <v>0</v>
      </c>
      <c r="N831" s="168">
        <f t="shared" si="251"/>
        <v>0</v>
      </c>
      <c r="O831" s="168">
        <f t="shared" si="251"/>
        <v>0</v>
      </c>
      <c r="P831" s="168">
        <f t="shared" si="251"/>
        <v>0</v>
      </c>
      <c r="Q831" s="168">
        <f t="shared" si="251"/>
        <v>0</v>
      </c>
      <c r="AC831" s="54"/>
      <c r="AG831" s="170"/>
    </row>
    <row r="832" spans="3:33">
      <c r="C832" s="85" t="s">
        <v>325</v>
      </c>
      <c r="E832" s="168">
        <f t="shared" si="252"/>
        <v>0</v>
      </c>
      <c r="F832" s="168">
        <f t="shared" si="251"/>
        <v>0</v>
      </c>
      <c r="G832" s="168">
        <f t="shared" si="251"/>
        <v>0</v>
      </c>
      <c r="H832" s="168">
        <f t="shared" si="251"/>
        <v>0</v>
      </c>
      <c r="I832" s="168">
        <f t="shared" si="251"/>
        <v>0</v>
      </c>
      <c r="J832" s="168">
        <f t="shared" si="251"/>
        <v>0</v>
      </c>
      <c r="K832" s="168">
        <f t="shared" si="251"/>
        <v>0</v>
      </c>
      <c r="L832" s="168">
        <f t="shared" si="251"/>
        <v>0</v>
      </c>
      <c r="M832" s="168">
        <f t="shared" si="251"/>
        <v>0</v>
      </c>
      <c r="N832" s="168">
        <f t="shared" si="251"/>
        <v>0</v>
      </c>
      <c r="O832" s="168">
        <f t="shared" si="251"/>
        <v>0</v>
      </c>
      <c r="P832" s="168">
        <f t="shared" si="251"/>
        <v>0</v>
      </c>
      <c r="Q832" s="168">
        <f t="shared" si="251"/>
        <v>0</v>
      </c>
      <c r="AC832" s="54"/>
      <c r="AG832" s="170"/>
    </row>
    <row r="833" spans="2:33">
      <c r="C833" s="85" t="s">
        <v>326</v>
      </c>
      <c r="E833" s="168">
        <f t="shared" si="252"/>
        <v>0</v>
      </c>
      <c r="F833" s="168">
        <f t="shared" si="251"/>
        <v>0</v>
      </c>
      <c r="G833" s="168">
        <f t="shared" si="251"/>
        <v>0</v>
      </c>
      <c r="H833" s="168">
        <f t="shared" si="251"/>
        <v>0</v>
      </c>
      <c r="I833" s="168">
        <f t="shared" si="251"/>
        <v>0</v>
      </c>
      <c r="J833" s="168">
        <f t="shared" si="251"/>
        <v>0</v>
      </c>
      <c r="K833" s="168">
        <f t="shared" si="251"/>
        <v>0</v>
      </c>
      <c r="L833" s="168">
        <f t="shared" si="251"/>
        <v>0</v>
      </c>
      <c r="M833" s="168">
        <f t="shared" si="251"/>
        <v>0</v>
      </c>
      <c r="N833" s="168">
        <f t="shared" si="251"/>
        <v>0</v>
      </c>
      <c r="O833" s="168">
        <f t="shared" si="251"/>
        <v>0</v>
      </c>
      <c r="P833" s="168">
        <f t="shared" si="251"/>
        <v>0</v>
      </c>
      <c r="Q833" s="168">
        <f t="shared" si="251"/>
        <v>0</v>
      </c>
      <c r="AC833" s="54"/>
      <c r="AG833" s="170"/>
    </row>
    <row r="834" spans="2:33">
      <c r="C834" s="85" t="s">
        <v>327</v>
      </c>
      <c r="E834" s="168">
        <f t="shared" si="252"/>
        <v>0</v>
      </c>
      <c r="F834" s="168">
        <f t="shared" si="251"/>
        <v>0</v>
      </c>
      <c r="G834" s="168">
        <f t="shared" si="251"/>
        <v>0</v>
      </c>
      <c r="H834" s="168">
        <f t="shared" si="251"/>
        <v>0</v>
      </c>
      <c r="I834" s="168">
        <f t="shared" si="251"/>
        <v>0</v>
      </c>
      <c r="J834" s="168">
        <f t="shared" si="251"/>
        <v>0</v>
      </c>
      <c r="K834" s="168">
        <f t="shared" si="251"/>
        <v>0</v>
      </c>
      <c r="L834" s="168">
        <f t="shared" si="251"/>
        <v>0</v>
      </c>
      <c r="M834" s="168">
        <f t="shared" si="251"/>
        <v>0</v>
      </c>
      <c r="N834" s="168">
        <f t="shared" si="251"/>
        <v>0</v>
      </c>
      <c r="O834" s="168">
        <f t="shared" si="251"/>
        <v>0</v>
      </c>
      <c r="P834" s="168">
        <f t="shared" si="251"/>
        <v>0</v>
      </c>
      <c r="Q834" s="168">
        <f t="shared" si="251"/>
        <v>0</v>
      </c>
      <c r="AC834" s="54"/>
      <c r="AG834" s="170" t="str">
        <f>AG476</f>
        <v>Hide Row</v>
      </c>
    </row>
    <row r="835" spans="2:33">
      <c r="C835" s="85" t="s">
        <v>328</v>
      </c>
      <c r="E835" s="168">
        <f t="shared" si="252"/>
        <v>0</v>
      </c>
      <c r="F835" s="168">
        <f t="shared" si="251"/>
        <v>0</v>
      </c>
      <c r="G835" s="168">
        <f t="shared" si="251"/>
        <v>0</v>
      </c>
      <c r="H835" s="168">
        <f t="shared" si="251"/>
        <v>0</v>
      </c>
      <c r="I835" s="168">
        <f t="shared" si="251"/>
        <v>0</v>
      </c>
      <c r="J835" s="168">
        <f t="shared" si="251"/>
        <v>0</v>
      </c>
      <c r="K835" s="168">
        <f t="shared" si="251"/>
        <v>0</v>
      </c>
      <c r="L835" s="168">
        <f t="shared" si="251"/>
        <v>0</v>
      </c>
      <c r="M835" s="168">
        <f t="shared" si="251"/>
        <v>0</v>
      </c>
      <c r="N835" s="168">
        <f t="shared" si="251"/>
        <v>0</v>
      </c>
      <c r="O835" s="168">
        <f t="shared" si="251"/>
        <v>0</v>
      </c>
      <c r="P835" s="168">
        <f t="shared" si="251"/>
        <v>0</v>
      </c>
      <c r="Q835" s="168">
        <f t="shared" si="251"/>
        <v>0</v>
      </c>
      <c r="AC835" s="54"/>
      <c r="AG835" s="170" t="str">
        <f>AG477</f>
        <v>Hide Row</v>
      </c>
    </row>
    <row r="836" spans="2:33">
      <c r="C836" s="85" t="s">
        <v>329</v>
      </c>
      <c r="E836" s="168">
        <f t="shared" si="252"/>
        <v>0</v>
      </c>
      <c r="F836" s="168">
        <f t="shared" si="251"/>
        <v>0</v>
      </c>
      <c r="G836" s="168">
        <f t="shared" si="251"/>
        <v>0</v>
      </c>
      <c r="H836" s="168">
        <f t="shared" si="251"/>
        <v>0</v>
      </c>
      <c r="I836" s="168">
        <f t="shared" si="251"/>
        <v>0</v>
      </c>
      <c r="J836" s="168">
        <f t="shared" si="251"/>
        <v>0</v>
      </c>
      <c r="K836" s="168">
        <f t="shared" si="251"/>
        <v>0</v>
      </c>
      <c r="L836" s="168">
        <f t="shared" si="251"/>
        <v>0</v>
      </c>
      <c r="M836" s="168">
        <f t="shared" si="251"/>
        <v>0</v>
      </c>
      <c r="N836" s="168">
        <f t="shared" si="251"/>
        <v>0</v>
      </c>
      <c r="O836" s="168">
        <f t="shared" si="251"/>
        <v>0</v>
      </c>
      <c r="P836" s="168">
        <f t="shared" si="251"/>
        <v>0</v>
      </c>
      <c r="Q836" s="168">
        <f t="shared" si="251"/>
        <v>0</v>
      </c>
      <c r="AC836" s="54"/>
      <c r="AG836" s="170" t="str">
        <f>AG478</f>
        <v>Hide Row</v>
      </c>
    </row>
    <row r="837" spans="2:33">
      <c r="C837" s="85" t="s">
        <v>331</v>
      </c>
      <c r="E837" s="168">
        <f t="shared" si="252"/>
        <v>0</v>
      </c>
      <c r="F837" s="168">
        <f t="shared" si="251"/>
        <v>0</v>
      </c>
      <c r="G837" s="168">
        <f t="shared" si="251"/>
        <v>0</v>
      </c>
      <c r="H837" s="168">
        <f t="shared" si="251"/>
        <v>0</v>
      </c>
      <c r="I837" s="168">
        <f t="shared" si="251"/>
        <v>0</v>
      </c>
      <c r="J837" s="168">
        <f t="shared" si="251"/>
        <v>0</v>
      </c>
      <c r="K837" s="168">
        <f t="shared" si="251"/>
        <v>0</v>
      </c>
      <c r="L837" s="168">
        <f t="shared" si="251"/>
        <v>0</v>
      </c>
      <c r="M837" s="168">
        <f t="shared" si="251"/>
        <v>0</v>
      </c>
      <c r="N837" s="168">
        <f t="shared" si="251"/>
        <v>0</v>
      </c>
      <c r="O837" s="168">
        <f t="shared" si="251"/>
        <v>0</v>
      </c>
      <c r="P837" s="168">
        <f t="shared" si="251"/>
        <v>0</v>
      </c>
      <c r="Q837" s="168">
        <f t="shared" si="251"/>
        <v>0</v>
      </c>
      <c r="AC837" s="54"/>
      <c r="AG837" s="170" t="str">
        <f>AG480</f>
        <v>Hide Row</v>
      </c>
    </row>
    <row r="838" spans="2:33">
      <c r="C838" s="85" t="s">
        <v>332</v>
      </c>
      <c r="E838" s="168">
        <f t="shared" si="252"/>
        <v>0</v>
      </c>
      <c r="F838" s="168">
        <f t="shared" si="251"/>
        <v>0</v>
      </c>
      <c r="G838" s="168">
        <f t="shared" si="251"/>
        <v>0</v>
      </c>
      <c r="H838" s="168">
        <f t="shared" si="251"/>
        <v>0</v>
      </c>
      <c r="I838" s="168">
        <f t="shared" si="251"/>
        <v>0</v>
      </c>
      <c r="J838" s="168">
        <f t="shared" si="251"/>
        <v>0</v>
      </c>
      <c r="K838" s="168">
        <f t="shared" si="251"/>
        <v>0</v>
      </c>
      <c r="L838" s="168">
        <f t="shared" si="251"/>
        <v>0</v>
      </c>
      <c r="M838" s="168">
        <f t="shared" si="251"/>
        <v>0</v>
      </c>
      <c r="N838" s="168">
        <f t="shared" si="251"/>
        <v>0</v>
      </c>
      <c r="O838" s="168">
        <f t="shared" si="251"/>
        <v>0</v>
      </c>
      <c r="P838" s="168">
        <f t="shared" si="251"/>
        <v>0</v>
      </c>
      <c r="Q838" s="168">
        <f t="shared" si="251"/>
        <v>0</v>
      </c>
      <c r="AC838" s="54"/>
      <c r="AG838" s="170" t="str">
        <f>AG481</f>
        <v>Hide Row</v>
      </c>
    </row>
    <row r="839" spans="2:33">
      <c r="C839" s="85" t="s">
        <v>333</v>
      </c>
      <c r="E839" s="168">
        <f t="shared" si="252"/>
        <v>0</v>
      </c>
      <c r="F839" s="168">
        <f t="shared" si="251"/>
        <v>0</v>
      </c>
      <c r="G839" s="168">
        <f t="shared" si="251"/>
        <v>0</v>
      </c>
      <c r="H839" s="168">
        <f t="shared" si="251"/>
        <v>0</v>
      </c>
      <c r="I839" s="168">
        <f t="shared" si="251"/>
        <v>0</v>
      </c>
      <c r="J839" s="168">
        <f t="shared" si="251"/>
        <v>0</v>
      </c>
      <c r="K839" s="168">
        <f t="shared" si="251"/>
        <v>0</v>
      </c>
      <c r="L839" s="168">
        <f t="shared" si="251"/>
        <v>0</v>
      </c>
      <c r="M839" s="168">
        <f t="shared" si="251"/>
        <v>0</v>
      </c>
      <c r="N839" s="168">
        <f t="shared" si="251"/>
        <v>0</v>
      </c>
      <c r="O839" s="168">
        <f t="shared" si="251"/>
        <v>0</v>
      </c>
      <c r="P839" s="168">
        <f t="shared" si="251"/>
        <v>0</v>
      </c>
      <c r="Q839" s="168">
        <f t="shared" si="251"/>
        <v>0</v>
      </c>
      <c r="AC839" s="54"/>
      <c r="AG839" s="170" t="str">
        <f>AG482</f>
        <v>Hide Row</v>
      </c>
    </row>
    <row r="840" spans="2:33">
      <c r="C840" s="85" t="s">
        <v>334</v>
      </c>
      <c r="E840" s="168">
        <f t="shared" si="252"/>
        <v>0</v>
      </c>
      <c r="F840" s="168">
        <f t="shared" si="251"/>
        <v>0</v>
      </c>
      <c r="G840" s="168">
        <f t="shared" si="251"/>
        <v>0</v>
      </c>
      <c r="H840" s="168">
        <f t="shared" si="251"/>
        <v>0</v>
      </c>
      <c r="I840" s="168">
        <f t="shared" si="251"/>
        <v>0</v>
      </c>
      <c r="J840" s="168">
        <f t="shared" si="251"/>
        <v>0</v>
      </c>
      <c r="K840" s="168">
        <f t="shared" si="251"/>
        <v>0</v>
      </c>
      <c r="L840" s="168">
        <f t="shared" si="251"/>
        <v>0</v>
      </c>
      <c r="M840" s="168">
        <f t="shared" si="251"/>
        <v>0</v>
      </c>
      <c r="N840" s="168">
        <f t="shared" si="251"/>
        <v>0</v>
      </c>
      <c r="O840" s="168">
        <f t="shared" si="251"/>
        <v>0</v>
      </c>
      <c r="P840" s="168">
        <f t="shared" si="251"/>
        <v>0</v>
      </c>
      <c r="Q840" s="168">
        <f t="shared" si="251"/>
        <v>0</v>
      </c>
      <c r="AC840" s="54"/>
      <c r="AG840" s="170"/>
    </row>
    <row r="841" spans="2:33">
      <c r="C841" s="85" t="s">
        <v>335</v>
      </c>
      <c r="E841" s="168">
        <f t="shared" si="252"/>
        <v>0</v>
      </c>
      <c r="F841" s="168">
        <f t="shared" si="251"/>
        <v>0</v>
      </c>
      <c r="G841" s="168">
        <f t="shared" si="251"/>
        <v>0</v>
      </c>
      <c r="H841" s="168">
        <f t="shared" si="251"/>
        <v>0</v>
      </c>
      <c r="I841" s="168">
        <f t="shared" si="251"/>
        <v>0</v>
      </c>
      <c r="J841" s="168">
        <f t="shared" si="251"/>
        <v>0</v>
      </c>
      <c r="K841" s="168">
        <f t="shared" si="251"/>
        <v>0</v>
      </c>
      <c r="L841" s="168">
        <f t="shared" si="251"/>
        <v>0</v>
      </c>
      <c r="M841" s="168">
        <f t="shared" si="251"/>
        <v>0</v>
      </c>
      <c r="N841" s="168">
        <f t="shared" si="251"/>
        <v>0</v>
      </c>
      <c r="O841" s="168">
        <f t="shared" si="251"/>
        <v>0</v>
      </c>
      <c r="P841" s="168">
        <f t="shared" si="251"/>
        <v>0</v>
      </c>
      <c r="Q841" s="168">
        <f t="shared" si="251"/>
        <v>0</v>
      </c>
      <c r="AC841" s="54"/>
      <c r="AG841" s="170"/>
    </row>
    <row r="842" spans="2:33">
      <c r="C842" s="85" t="s">
        <v>339</v>
      </c>
      <c r="E842" s="173">
        <f t="shared" si="252"/>
        <v>0</v>
      </c>
      <c r="F842" s="168">
        <f t="shared" si="251"/>
        <v>0</v>
      </c>
      <c r="G842" s="168">
        <f t="shared" si="251"/>
        <v>0</v>
      </c>
      <c r="H842" s="168">
        <f t="shared" si="251"/>
        <v>0</v>
      </c>
      <c r="I842" s="168">
        <f t="shared" si="251"/>
        <v>0</v>
      </c>
      <c r="J842" s="168">
        <f t="shared" si="251"/>
        <v>0</v>
      </c>
      <c r="K842" s="168">
        <f t="shared" si="251"/>
        <v>0</v>
      </c>
      <c r="L842" s="168">
        <f t="shared" si="251"/>
        <v>0</v>
      </c>
      <c r="M842" s="168">
        <f t="shared" si="251"/>
        <v>0</v>
      </c>
      <c r="N842" s="168">
        <f t="shared" si="251"/>
        <v>0</v>
      </c>
      <c r="O842" s="168">
        <f t="shared" si="251"/>
        <v>0</v>
      </c>
      <c r="P842" s="168">
        <f t="shared" si="251"/>
        <v>0</v>
      </c>
      <c r="Q842" s="168">
        <f t="shared" si="251"/>
        <v>0</v>
      </c>
      <c r="AC842" s="54"/>
      <c r="AG842" s="170" t="str">
        <f>AG487</f>
        <v>Hide Row</v>
      </c>
    </row>
    <row r="843" spans="2:33">
      <c r="C843" s="85" t="s">
        <v>345</v>
      </c>
      <c r="E843" s="173">
        <f t="shared" si="252"/>
        <v>0</v>
      </c>
      <c r="F843" s="168">
        <f t="shared" ref="F843:Q843" si="253">INDEX($C$454:$Q$493,MATCH($C843,$C$454:$C$493,FALSE),COLUMN(F843)-2)</f>
        <v>0</v>
      </c>
      <c r="G843" s="168">
        <f t="shared" si="253"/>
        <v>0</v>
      </c>
      <c r="H843" s="168">
        <f t="shared" si="253"/>
        <v>0</v>
      </c>
      <c r="I843" s="168">
        <f t="shared" si="253"/>
        <v>0</v>
      </c>
      <c r="J843" s="168">
        <f t="shared" si="253"/>
        <v>0</v>
      </c>
      <c r="K843" s="168">
        <f t="shared" si="253"/>
        <v>0</v>
      </c>
      <c r="L843" s="168">
        <f t="shared" si="253"/>
        <v>0</v>
      </c>
      <c r="M843" s="168">
        <f t="shared" si="253"/>
        <v>0</v>
      </c>
      <c r="N843" s="168">
        <f t="shared" si="253"/>
        <v>0</v>
      </c>
      <c r="O843" s="168">
        <f t="shared" si="253"/>
        <v>0</v>
      </c>
      <c r="P843" s="168">
        <f t="shared" si="253"/>
        <v>0</v>
      </c>
      <c r="Q843" s="168">
        <f t="shared" si="253"/>
        <v>0</v>
      </c>
      <c r="AC843" s="54"/>
      <c r="AG843" s="170"/>
    </row>
    <row r="844" spans="2:33">
      <c r="C844" s="85" t="s">
        <v>577</v>
      </c>
      <c r="E844" s="174">
        <f t="shared" si="252"/>
        <v>1071577.0845165958</v>
      </c>
      <c r="F844" s="174">
        <f t="shared" ref="F844:Q844" si="254">SUM(F803:F843)</f>
        <v>90479.558134549996</v>
      </c>
      <c r="G844" s="174">
        <f t="shared" si="254"/>
        <v>87530.500028270995</v>
      </c>
      <c r="H844" s="174">
        <f t="shared" si="254"/>
        <v>93335.705034049999</v>
      </c>
      <c r="I844" s="174">
        <f t="shared" si="254"/>
        <v>83932.642371310008</v>
      </c>
      <c r="J844" s="174">
        <f t="shared" si="254"/>
        <v>80946.262174210002</v>
      </c>
      <c r="K844" s="174">
        <f t="shared" si="254"/>
        <v>76901.795053599999</v>
      </c>
      <c r="L844" s="174">
        <f t="shared" si="254"/>
        <v>82644.032884229993</v>
      </c>
      <c r="M844" s="174">
        <f t="shared" si="254"/>
        <v>91944.8273415</v>
      </c>
      <c r="N844" s="174">
        <f t="shared" si="254"/>
        <v>83657.928791725004</v>
      </c>
      <c r="O844" s="174">
        <f t="shared" si="254"/>
        <v>103261.247918635</v>
      </c>
      <c r="P844" s="174">
        <f t="shared" si="254"/>
        <v>84581.848406920006</v>
      </c>
      <c r="Q844" s="174">
        <f t="shared" si="254"/>
        <v>112360.73637759499</v>
      </c>
      <c r="AC844" s="54"/>
    </row>
    <row r="845" spans="2:33">
      <c r="C845" s="85"/>
      <c r="E845" s="168"/>
      <c r="F845" s="168"/>
      <c r="G845" s="168"/>
      <c r="H845" s="168"/>
      <c r="I845" s="168"/>
      <c r="J845" s="168"/>
      <c r="K845" s="168"/>
      <c r="L845" s="168"/>
      <c r="M845" s="168"/>
      <c r="N845" s="168"/>
      <c r="O845" s="168"/>
      <c r="P845" s="168"/>
      <c r="Q845" s="168"/>
      <c r="AC845" s="54"/>
    </row>
    <row r="846" spans="2:33">
      <c r="B846" s="41" t="s">
        <v>578</v>
      </c>
      <c r="C846" s="85"/>
      <c r="E846" s="168"/>
      <c r="F846" s="168"/>
      <c r="G846" s="168"/>
      <c r="H846" s="168"/>
      <c r="I846" s="168"/>
      <c r="J846" s="168"/>
      <c r="K846" s="168"/>
      <c r="L846" s="168"/>
      <c r="M846" s="168"/>
      <c r="N846" s="168"/>
      <c r="O846" s="168"/>
      <c r="P846" s="168"/>
      <c r="Q846" s="168"/>
      <c r="AC846" s="54"/>
    </row>
    <row r="847" spans="2:33">
      <c r="C847" s="58" t="s">
        <v>504</v>
      </c>
      <c r="E847" s="168">
        <f>SUM(F847:Q847)</f>
        <v>267537.49869274406</v>
      </c>
      <c r="F847" s="168">
        <f t="shared" ref="F847:Q848" si="255">INDEX($C$608:$Q$633,MATCH($C847,$C$608:$C$633,FALSE),COLUMN(F847)-2)</f>
        <v>22592.233817299999</v>
      </c>
      <c r="G847" s="168">
        <f t="shared" si="255"/>
        <v>24414.638584339998</v>
      </c>
      <c r="H847" s="168">
        <f t="shared" si="255"/>
        <v>28241.6268624</v>
      </c>
      <c r="I847" s="168">
        <f t="shared" si="255"/>
        <v>27561.8977997</v>
      </c>
      <c r="J847" s="168">
        <f t="shared" si="255"/>
        <v>23959.111144400002</v>
      </c>
      <c r="K847" s="168">
        <f t="shared" si="255"/>
        <v>18248.604973000001</v>
      </c>
      <c r="L847" s="168">
        <f t="shared" si="255"/>
        <v>23552.8727555</v>
      </c>
      <c r="M847" s="168">
        <f t="shared" si="255"/>
        <v>20841.859165999998</v>
      </c>
      <c r="N847" s="168">
        <f t="shared" si="255"/>
        <v>14182.896642469999</v>
      </c>
      <c r="O847" s="168">
        <f t="shared" si="255"/>
        <v>13954.056616653999</v>
      </c>
      <c r="P847" s="168">
        <f t="shared" si="255"/>
        <v>18864.480786880002</v>
      </c>
      <c r="Q847" s="168">
        <f t="shared" si="255"/>
        <v>31123.2195441</v>
      </c>
      <c r="AC847" s="54"/>
    </row>
    <row r="848" spans="2:33">
      <c r="C848" s="58" t="s">
        <v>507</v>
      </c>
      <c r="E848" s="168">
        <f>SUM(F848:Q848)</f>
        <v>302125.89095845004</v>
      </c>
      <c r="F848" s="168">
        <f t="shared" si="255"/>
        <v>23371.430556250001</v>
      </c>
      <c r="G848" s="168">
        <f t="shared" si="255"/>
        <v>31433.747917799999</v>
      </c>
      <c r="H848" s="168">
        <f t="shared" si="255"/>
        <v>33459.756336500002</v>
      </c>
      <c r="I848" s="168">
        <f t="shared" si="255"/>
        <v>35500.375979999997</v>
      </c>
      <c r="J848" s="168">
        <f t="shared" si="255"/>
        <v>30105.230266999999</v>
      </c>
      <c r="K848" s="168">
        <f t="shared" si="255"/>
        <v>25415.612421999998</v>
      </c>
      <c r="L848" s="168">
        <f t="shared" si="255"/>
        <v>24045.990108499998</v>
      </c>
      <c r="M848" s="168">
        <f t="shared" si="255"/>
        <v>17914.346372</v>
      </c>
      <c r="N848" s="168">
        <f t="shared" si="255"/>
        <v>17830.403952000001</v>
      </c>
      <c r="O848" s="168">
        <f t="shared" si="255"/>
        <v>15960.25557136</v>
      </c>
      <c r="P848" s="168">
        <f t="shared" si="255"/>
        <v>17863.841139839999</v>
      </c>
      <c r="Q848" s="168">
        <f t="shared" si="255"/>
        <v>29224.9003352</v>
      </c>
      <c r="AC848" s="54"/>
    </row>
    <row r="849" spans="1:33">
      <c r="E849" s="175"/>
      <c r="F849" s="168"/>
      <c r="G849" s="175"/>
      <c r="H849" s="175"/>
      <c r="I849" s="175"/>
      <c r="J849" s="175"/>
      <c r="K849" s="175"/>
      <c r="L849" s="175"/>
      <c r="M849" s="175"/>
      <c r="N849" s="175"/>
      <c r="O849" s="175"/>
      <c r="P849" s="175"/>
      <c r="Q849" s="175"/>
    </row>
    <row r="850" spans="1:33" ht="13.5" thickBot="1">
      <c r="C850" s="85" t="s">
        <v>579</v>
      </c>
      <c r="E850" s="176">
        <f>SUM(F850:Q850)</f>
        <v>1641240.47416779</v>
      </c>
      <c r="F850" s="176">
        <f t="shared" ref="F850:Q850" si="256">SUM(F844:F848)</f>
        <v>136443.22250810001</v>
      </c>
      <c r="G850" s="176">
        <f t="shared" si="256"/>
        <v>143378.88653041099</v>
      </c>
      <c r="H850" s="176">
        <f t="shared" si="256"/>
        <v>155037.08823294999</v>
      </c>
      <c r="I850" s="176">
        <f t="shared" si="256"/>
        <v>146994.91615101002</v>
      </c>
      <c r="J850" s="176">
        <f t="shared" si="256"/>
        <v>135010.60358560999</v>
      </c>
      <c r="K850" s="176">
        <f t="shared" si="256"/>
        <v>120566.0124486</v>
      </c>
      <c r="L850" s="176">
        <f t="shared" si="256"/>
        <v>130242.89574822999</v>
      </c>
      <c r="M850" s="176">
        <f t="shared" si="256"/>
        <v>130701.0328795</v>
      </c>
      <c r="N850" s="176">
        <f t="shared" si="256"/>
        <v>115671.22938619502</v>
      </c>
      <c r="O850" s="176">
        <f t="shared" si="256"/>
        <v>133175.56010664898</v>
      </c>
      <c r="P850" s="176">
        <f t="shared" si="256"/>
        <v>121310.17033364001</v>
      </c>
      <c r="Q850" s="176">
        <f t="shared" si="256"/>
        <v>172708.856256895</v>
      </c>
      <c r="AC850" s="54"/>
    </row>
    <row r="851" spans="1:33" ht="13.5" thickTop="1">
      <c r="C851" s="85"/>
      <c r="E851" s="173"/>
      <c r="F851" s="173"/>
      <c r="G851" s="173"/>
      <c r="H851" s="173"/>
      <c r="I851" s="173"/>
      <c r="J851" s="173"/>
      <c r="K851" s="173"/>
      <c r="L851" s="173"/>
      <c r="M851" s="173"/>
      <c r="N851" s="173"/>
      <c r="O851" s="173"/>
      <c r="P851" s="173"/>
      <c r="Q851" s="173"/>
      <c r="AC851" s="54"/>
    </row>
    <row r="852" spans="1:33">
      <c r="C852" s="85" t="s">
        <v>580</v>
      </c>
      <c r="E852" s="58"/>
      <c r="F852" s="58">
        <v>0.37792810223999995</v>
      </c>
      <c r="G852" s="58">
        <v>0.37792810223999995</v>
      </c>
      <c r="H852" s="58">
        <v>0.37792810223999995</v>
      </c>
      <c r="I852" s="58">
        <v>0.37792810223999995</v>
      </c>
      <c r="J852" s="58">
        <v>0.37792810223999995</v>
      </c>
      <c r="K852" s="58">
        <v>0.37792810223999995</v>
      </c>
      <c r="L852" s="58">
        <v>0.37792810223999995</v>
      </c>
      <c r="M852" s="58">
        <v>0.37792810223999995</v>
      </c>
      <c r="N852" s="58">
        <v>0.37792810223999995</v>
      </c>
      <c r="O852" s="58">
        <v>0.38359702377359989</v>
      </c>
      <c r="P852" s="58">
        <v>0.38359702377359989</v>
      </c>
      <c r="Q852" s="58">
        <v>0.38359702377359989</v>
      </c>
      <c r="AC852" s="54"/>
    </row>
    <row r="853" spans="1:33">
      <c r="C853" s="91" t="s">
        <v>581</v>
      </c>
      <c r="E853" s="58"/>
      <c r="F853" s="58">
        <v>0.37792810223999995</v>
      </c>
      <c r="G853" s="58">
        <v>0.37792810223999995</v>
      </c>
      <c r="H853" s="58">
        <v>0.37792810223999995</v>
      </c>
      <c r="I853" s="58">
        <v>0.37792810223999995</v>
      </c>
      <c r="J853" s="58">
        <v>0.37792810223999995</v>
      </c>
      <c r="K853" s="58">
        <v>0.37792810223999995</v>
      </c>
      <c r="L853" s="58">
        <v>0.37792810223999995</v>
      </c>
      <c r="M853" s="58">
        <v>0.37792810223999995</v>
      </c>
      <c r="N853" s="58">
        <v>0.37792810223999995</v>
      </c>
      <c r="O853" s="58">
        <v>0.38359702377359989</v>
      </c>
      <c r="P853" s="58">
        <v>0.38359702377359989</v>
      </c>
      <c r="Q853" s="58">
        <v>0.38359702377359989</v>
      </c>
      <c r="AC853" s="54"/>
    </row>
    <row r="854" spans="1:33">
      <c r="C854" s="91" t="s">
        <v>582</v>
      </c>
      <c r="E854" s="175">
        <f t="shared" ref="E854:E857" si="257">SUM(F854:Q854)</f>
        <v>406680.92592690926</v>
      </c>
      <c r="F854" s="175">
        <f t="shared" ref="F854:Q854" si="258">F852*F844</f>
        <v>34194.767697304233</v>
      </c>
      <c r="G854" s="175">
        <f t="shared" si="258"/>
        <v>33080.235763802717</v>
      </c>
      <c r="H854" s="175">
        <f t="shared" si="258"/>
        <v>35274.185874750925</v>
      </c>
      <c r="I854" s="175">
        <f t="shared" si="258"/>
        <v>31720.504247377801</v>
      </c>
      <c r="J854" s="175">
        <f t="shared" si="258"/>
        <v>30591.867246920679</v>
      </c>
      <c r="K854" s="175">
        <f t="shared" si="258"/>
        <v>29063.349463456463</v>
      </c>
      <c r="L854" s="175">
        <f t="shared" si="258"/>
        <v>31233.502509397193</v>
      </c>
      <c r="M854" s="175">
        <f t="shared" si="258"/>
        <v>34748.534107957552</v>
      </c>
      <c r="N854" s="175">
        <f t="shared" si="258"/>
        <v>31616.682265585681</v>
      </c>
      <c r="O854" s="175">
        <f t="shared" si="258"/>
        <v>39610.707372736222</v>
      </c>
      <c r="P854" s="175">
        <f t="shared" si="258"/>
        <v>32445.345314164315</v>
      </c>
      <c r="Q854" s="175">
        <f t="shared" si="258"/>
        <v>43101.244063455495</v>
      </c>
    </row>
    <row r="855" spans="1:33">
      <c r="C855" s="58" t="s">
        <v>583</v>
      </c>
      <c r="E855" s="175">
        <f t="shared" si="257"/>
        <v>101472.41996184186</v>
      </c>
      <c r="F855" s="175">
        <f t="shared" ref="F855:Q856" si="259">F$853*F847</f>
        <v>8538.2400519345392</v>
      </c>
      <c r="G855" s="175">
        <f t="shared" si="259"/>
        <v>9226.9780270550946</v>
      </c>
      <c r="H855" s="175">
        <f t="shared" si="259"/>
        <v>10673.304444277037</v>
      </c>
      <c r="I855" s="175">
        <f t="shared" si="259"/>
        <v>10416.415729573451</v>
      </c>
      <c r="J855" s="175">
        <f t="shared" si="259"/>
        <v>9054.8214061603267</v>
      </c>
      <c r="K855" s="175">
        <f t="shared" si="259"/>
        <v>6896.6606459733157</v>
      </c>
      <c r="L855" s="175">
        <f t="shared" si="259"/>
        <v>8901.292502786313</v>
      </c>
      <c r="M855" s="175">
        <f t="shared" si="259"/>
        <v>7876.7242817597271</v>
      </c>
      <c r="N855" s="175">
        <f t="shared" si="259"/>
        <v>5360.1152123547536</v>
      </c>
      <c r="O855" s="175">
        <f t="shared" si="259"/>
        <v>5352.7345877167827</v>
      </c>
      <c r="P855" s="175">
        <f t="shared" si="259"/>
        <v>7236.3586848814266</v>
      </c>
      <c r="Q855" s="175">
        <f t="shared" si="259"/>
        <v>11938.774387369096</v>
      </c>
      <c r="AC855" s="54"/>
    </row>
    <row r="856" spans="1:33">
      <c r="C856" s="58" t="s">
        <v>584</v>
      </c>
      <c r="E856" s="177">
        <f t="shared" si="257"/>
        <v>114539.28442452439</v>
      </c>
      <c r="F856" s="177">
        <f t="shared" si="259"/>
        <v>8832.7203967575097</v>
      </c>
      <c r="G856" s="177">
        <f t="shared" si="259"/>
        <v>11879.696696864703</v>
      </c>
      <c r="H856" s="177">
        <f t="shared" si="259"/>
        <v>12645.382213666258</v>
      </c>
      <c r="I856" s="177">
        <f t="shared" si="259"/>
        <v>13416.589722927878</v>
      </c>
      <c r="J856" s="177">
        <f t="shared" si="259"/>
        <v>11377.612542305516</v>
      </c>
      <c r="K856" s="177">
        <f t="shared" si="259"/>
        <v>9605.2741699138278</v>
      </c>
      <c r="L856" s="177">
        <f t="shared" si="259"/>
        <v>9087.6554081872146</v>
      </c>
      <c r="M856" s="177">
        <f t="shared" si="259"/>
        <v>6770.3349272399882</v>
      </c>
      <c r="N856" s="177">
        <f t="shared" si="259"/>
        <v>6738.610727751955</v>
      </c>
      <c r="O856" s="177">
        <f t="shared" si="259"/>
        <v>6122.3065358397116</v>
      </c>
      <c r="P856" s="177">
        <f t="shared" si="259"/>
        <v>6852.5162944070153</v>
      </c>
      <c r="Q856" s="177">
        <f t="shared" si="259"/>
        <v>11210.584788662802</v>
      </c>
      <c r="AC856" s="54"/>
    </row>
    <row r="857" spans="1:33" ht="13.5" thickBot="1">
      <c r="C857" s="85" t="s">
        <v>585</v>
      </c>
      <c r="E857" s="176">
        <f t="shared" si="257"/>
        <v>622692.63031327561</v>
      </c>
      <c r="F857" s="176">
        <f t="shared" ref="F857:Q857" si="260">SUM(F854:F856)</f>
        <v>51565.728145996283</v>
      </c>
      <c r="G857" s="176">
        <f t="shared" si="260"/>
        <v>54186.910487722518</v>
      </c>
      <c r="H857" s="176">
        <f t="shared" si="260"/>
        <v>58592.872532694215</v>
      </c>
      <c r="I857" s="176">
        <f t="shared" si="260"/>
        <v>55553.509699879127</v>
      </c>
      <c r="J857" s="176">
        <f t="shared" si="260"/>
        <v>51024.301195386521</v>
      </c>
      <c r="K857" s="176">
        <f t="shared" si="260"/>
        <v>45565.284279343607</v>
      </c>
      <c r="L857" s="176">
        <f t="shared" si="260"/>
        <v>49222.450420370718</v>
      </c>
      <c r="M857" s="176">
        <f t="shared" si="260"/>
        <v>49395.593316957267</v>
      </c>
      <c r="N857" s="176">
        <f t="shared" si="260"/>
        <v>43715.408205692387</v>
      </c>
      <c r="O857" s="176">
        <f t="shared" si="260"/>
        <v>51085.748496292719</v>
      </c>
      <c r="P857" s="176">
        <f t="shared" si="260"/>
        <v>46534.22029345276</v>
      </c>
      <c r="Q857" s="176">
        <f t="shared" si="260"/>
        <v>66250.603239487391</v>
      </c>
      <c r="AC857" s="54"/>
    </row>
    <row r="858" spans="1:33" ht="13.5" thickTop="1">
      <c r="C858" s="52" t="s">
        <v>586</v>
      </c>
      <c r="E858" s="59">
        <f>SUM(F858:Q858)</f>
        <v>407225.21106345946</v>
      </c>
      <c r="F858" s="59">
        <v>31446.362104794523</v>
      </c>
      <c r="G858" s="59">
        <v>31254.305004842015</v>
      </c>
      <c r="H858" s="59">
        <v>31100.333651279765</v>
      </c>
      <c r="I858" s="59">
        <v>34755.790255147338</v>
      </c>
      <c r="J858" s="59">
        <v>34342.519618538201</v>
      </c>
      <c r="K858" s="59">
        <v>31280.822670480939</v>
      </c>
      <c r="L858" s="59">
        <v>32003.563157532917</v>
      </c>
      <c r="M858" s="59">
        <v>34102.092559188641</v>
      </c>
      <c r="N858" s="59">
        <v>38454.322560836576</v>
      </c>
      <c r="O858" s="59">
        <v>39049.617370209096</v>
      </c>
      <c r="P858" s="59">
        <v>34787.258267704354</v>
      </c>
      <c r="Q858" s="59">
        <v>34648.223842905158</v>
      </c>
      <c r="AC858" s="54"/>
    </row>
    <row r="859" spans="1:33"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AC859" s="54"/>
    </row>
    <row r="860" spans="1:33">
      <c r="A860" s="178" t="s">
        <v>587</v>
      </c>
      <c r="C860" s="85"/>
      <c r="E860" s="151"/>
      <c r="F860" s="151"/>
      <c r="G860" s="151"/>
      <c r="H860" s="151"/>
      <c r="I860" s="151"/>
      <c r="J860" s="151"/>
      <c r="K860" s="151"/>
      <c r="L860" s="151"/>
      <c r="M860" s="151"/>
      <c r="N860" s="151"/>
      <c r="O860" s="151"/>
      <c r="P860" s="151"/>
      <c r="Q860" s="151"/>
      <c r="V860" s="179" t="s">
        <v>588</v>
      </c>
      <c r="W860" s="180"/>
      <c r="X860" s="180"/>
      <c r="Y860" s="180"/>
      <c r="Z860" s="181"/>
      <c r="AC860" s="54"/>
      <c r="AG860" s="64"/>
    </row>
    <row r="861" spans="1:33">
      <c r="B861" s="85" t="str">
        <f>C777</f>
        <v>Chehalis</v>
      </c>
      <c r="C861" s="85"/>
      <c r="E861" s="109">
        <f t="shared" ref="E861:E865" si="261">SUM(F861:Q861)</f>
        <v>647135.40600000008</v>
      </c>
      <c r="F861" s="182">
        <v>12680.6792</v>
      </c>
      <c r="G861" s="182">
        <v>0</v>
      </c>
      <c r="H861" s="182">
        <v>0</v>
      </c>
      <c r="I861" s="182">
        <v>62707.033500000005</v>
      </c>
      <c r="J861" s="182">
        <v>25236.177</v>
      </c>
      <c r="K861" s="182">
        <v>64309.486499999999</v>
      </c>
      <c r="L861" s="182">
        <v>92276.715300000011</v>
      </c>
      <c r="M861" s="182">
        <v>106414.02100000001</v>
      </c>
      <c r="N861" s="182">
        <v>81546.506499999989</v>
      </c>
      <c r="O861" s="182">
        <v>111777.15919999999</v>
      </c>
      <c r="P861" s="182">
        <v>45522.445499999994</v>
      </c>
      <c r="Q861" s="182">
        <v>44665.1823</v>
      </c>
      <c r="V861" s="183" t="str">
        <f>B861</f>
        <v>Chehalis</v>
      </c>
      <c r="W861" s="84"/>
      <c r="X861" s="84"/>
      <c r="Y861" s="84"/>
      <c r="Z861" s="184"/>
      <c r="AC861" s="54"/>
      <c r="AG861" s="62" t="str">
        <f>IF(ISNUMBER(E861),"","Hide Row")</f>
        <v/>
      </c>
    </row>
    <row r="862" spans="1:33">
      <c r="B862" s="52" t="s">
        <v>466</v>
      </c>
      <c r="C862" s="85"/>
      <c r="E862" s="109">
        <f t="shared" si="261"/>
        <v>0</v>
      </c>
      <c r="F862" s="185">
        <v>0</v>
      </c>
      <c r="G862" s="185">
        <v>0</v>
      </c>
      <c r="H862" s="185">
        <v>0</v>
      </c>
      <c r="I862" s="185">
        <v>0</v>
      </c>
      <c r="J862" s="185">
        <v>0</v>
      </c>
      <c r="K862" s="185">
        <v>0</v>
      </c>
      <c r="L862" s="185">
        <v>0</v>
      </c>
      <c r="M862" s="185">
        <v>0</v>
      </c>
      <c r="N862" s="185">
        <v>0</v>
      </c>
      <c r="O862" s="185">
        <v>0</v>
      </c>
      <c r="P862" s="185">
        <v>0</v>
      </c>
      <c r="Q862" s="185">
        <v>0</v>
      </c>
      <c r="V862" s="183" t="str">
        <f>B862</f>
        <v>Currant Creek</v>
      </c>
      <c r="W862" s="84"/>
      <c r="X862" s="84"/>
      <c r="Y862" s="84"/>
      <c r="Z862" s="184"/>
      <c r="AC862" s="54"/>
      <c r="AG862" s="62" t="str">
        <f t="shared" ref="AG862:AG873" si="262">IF(ISNUMBER(E862),"","Hide Row")</f>
        <v/>
      </c>
    </row>
    <row r="863" spans="1:33">
      <c r="B863" s="85" t="s">
        <v>468</v>
      </c>
      <c r="C863" s="85"/>
      <c r="E863" s="109">
        <f t="shared" si="261"/>
        <v>0</v>
      </c>
      <c r="F863" s="185">
        <v>0</v>
      </c>
      <c r="G863" s="185">
        <v>0</v>
      </c>
      <c r="H863" s="185">
        <v>0</v>
      </c>
      <c r="I863" s="185">
        <v>0</v>
      </c>
      <c r="J863" s="185">
        <v>0</v>
      </c>
      <c r="K863" s="185">
        <v>0</v>
      </c>
      <c r="L863" s="185">
        <v>0</v>
      </c>
      <c r="M863" s="185">
        <v>0</v>
      </c>
      <c r="N863" s="185">
        <v>0</v>
      </c>
      <c r="O863" s="185">
        <v>0</v>
      </c>
      <c r="P863" s="185">
        <v>0</v>
      </c>
      <c r="Q863" s="185">
        <v>0</v>
      </c>
      <c r="V863" s="186" t="s">
        <v>589</v>
      </c>
      <c r="W863" s="187" t="s">
        <v>590</v>
      </c>
      <c r="X863" s="187" t="s">
        <v>591</v>
      </c>
      <c r="Y863" s="84"/>
      <c r="Z863" s="184"/>
      <c r="AC863" s="54"/>
      <c r="AG863" s="62"/>
    </row>
    <row r="864" spans="1:33">
      <c r="B864" s="85" t="s">
        <v>469</v>
      </c>
      <c r="C864" s="188"/>
      <c r="E864" s="109">
        <f t="shared" si="261"/>
        <v>0</v>
      </c>
      <c r="F864" s="185">
        <v>0</v>
      </c>
      <c r="G864" s="185">
        <v>0</v>
      </c>
      <c r="H864" s="185">
        <v>0</v>
      </c>
      <c r="I864" s="185">
        <v>0</v>
      </c>
      <c r="J864" s="185">
        <v>0</v>
      </c>
      <c r="K864" s="185">
        <v>0</v>
      </c>
      <c r="L864" s="185">
        <v>0</v>
      </c>
      <c r="M864" s="185">
        <v>0</v>
      </c>
      <c r="N864" s="185">
        <v>0</v>
      </c>
      <c r="O864" s="185">
        <v>0</v>
      </c>
      <c r="P864" s="185">
        <v>0</v>
      </c>
      <c r="Q864" s="185">
        <v>0</v>
      </c>
      <c r="V864" s="186" t="s">
        <v>592</v>
      </c>
      <c r="W864" s="187" t="s">
        <v>593</v>
      </c>
      <c r="X864" s="187" t="s">
        <v>594</v>
      </c>
      <c r="Y864" s="84"/>
      <c r="Z864" s="184"/>
      <c r="AC864" s="54"/>
      <c r="AG864" s="62"/>
    </row>
    <row r="865" spans="1:33">
      <c r="B865" s="85" t="s">
        <v>193</v>
      </c>
      <c r="C865" s="188"/>
      <c r="E865" s="109">
        <f t="shared" si="261"/>
        <v>233138.30360000004</v>
      </c>
      <c r="F865" s="182">
        <v>27479.157600000002</v>
      </c>
      <c r="G865" s="182">
        <v>13556.774000000001</v>
      </c>
      <c r="H865" s="182">
        <v>0</v>
      </c>
      <c r="I865" s="182">
        <v>41360.335200000001</v>
      </c>
      <c r="J865" s="182">
        <v>6905.1891000000005</v>
      </c>
      <c r="K865" s="182">
        <v>50405.239500000003</v>
      </c>
      <c r="L865" s="182">
        <v>14557.7052</v>
      </c>
      <c r="M865" s="182">
        <v>0</v>
      </c>
      <c r="N865" s="182">
        <v>15805.497799999999</v>
      </c>
      <c r="O865" s="182">
        <v>7985.535499999999</v>
      </c>
      <c r="P865" s="182">
        <v>23828.493300000002</v>
      </c>
      <c r="Q865" s="182">
        <v>31254.376400000005</v>
      </c>
      <c r="V865" s="183" t="str">
        <f>B865</f>
        <v>Hermiston 1</v>
      </c>
      <c r="W865" s="84"/>
      <c r="X865" s="84"/>
      <c r="Y865" s="84"/>
      <c r="Z865" s="184"/>
      <c r="AC865" s="54"/>
      <c r="AG865" s="62" t="str">
        <f t="shared" si="262"/>
        <v/>
      </c>
    </row>
    <row r="866" spans="1:33">
      <c r="B866" s="85" t="s">
        <v>194</v>
      </c>
      <c r="C866" s="188"/>
      <c r="E866" s="109">
        <f t="shared" ref="E866:E868" si="263">SUM(F866:Q866)</f>
        <v>252721.13099999999</v>
      </c>
      <c r="F866" s="182">
        <v>22505.620800000001</v>
      </c>
      <c r="G866" s="182">
        <v>22206.184000000001</v>
      </c>
      <c r="H866" s="182">
        <v>11134.6924</v>
      </c>
      <c r="I866" s="182">
        <v>50811.602400000003</v>
      </c>
      <c r="J866" s="182">
        <v>5655.3977999999997</v>
      </c>
      <c r="K866" s="182">
        <v>11794.925999999999</v>
      </c>
      <c r="L866" s="182">
        <v>5961.4308000000001</v>
      </c>
      <c r="M866" s="182">
        <v>18638.099999999999</v>
      </c>
      <c r="N866" s="182">
        <v>6472.4061999999994</v>
      </c>
      <c r="O866" s="182">
        <v>52321.671999999999</v>
      </c>
      <c r="P866" s="182">
        <v>26020.935200000004</v>
      </c>
      <c r="Q866" s="182">
        <v>19198.163400000001</v>
      </c>
      <c r="V866" s="183" t="str">
        <f>B866</f>
        <v>Hermiston 2</v>
      </c>
      <c r="W866" s="84"/>
      <c r="X866" s="84"/>
      <c r="Y866" s="84"/>
      <c r="Z866" s="184"/>
      <c r="AC866" s="54"/>
      <c r="AG866" s="62" t="str">
        <f t="shared" si="262"/>
        <v/>
      </c>
    </row>
    <row r="867" spans="1:33">
      <c r="B867" s="52" t="s">
        <v>472</v>
      </c>
      <c r="C867" s="189"/>
      <c r="D867" s="101"/>
      <c r="E867" s="109">
        <f t="shared" si="263"/>
        <v>0</v>
      </c>
      <c r="F867" s="185"/>
      <c r="G867" s="185"/>
      <c r="H867" s="185"/>
      <c r="I867" s="185"/>
      <c r="J867" s="185"/>
      <c r="K867" s="185"/>
      <c r="L867" s="185"/>
      <c r="M867" s="185"/>
      <c r="N867" s="185"/>
      <c r="O867" s="185"/>
      <c r="P867" s="185"/>
      <c r="Q867" s="185"/>
      <c r="V867" s="183" t="str">
        <f>B867</f>
        <v>Lake Side 1</v>
      </c>
      <c r="W867" s="84"/>
      <c r="X867" s="84"/>
      <c r="Y867" s="84"/>
      <c r="Z867" s="184"/>
      <c r="AF867" s="90"/>
      <c r="AG867" s="62" t="str">
        <f t="shared" si="262"/>
        <v/>
      </c>
    </row>
    <row r="868" spans="1:33" s="64" customFormat="1">
      <c r="A868" s="71"/>
      <c r="B868" s="52" t="str">
        <f>C783</f>
        <v>Lake Side II</v>
      </c>
      <c r="C868" s="189"/>
      <c r="D868" s="101"/>
      <c r="E868" s="109">
        <f t="shared" si="263"/>
        <v>0</v>
      </c>
      <c r="F868" s="185">
        <v>0</v>
      </c>
      <c r="G868" s="185">
        <v>0</v>
      </c>
      <c r="H868" s="185">
        <v>0</v>
      </c>
      <c r="I868" s="185">
        <v>0</v>
      </c>
      <c r="J868" s="185">
        <v>0</v>
      </c>
      <c r="K868" s="185">
        <v>0</v>
      </c>
      <c r="L868" s="185">
        <v>0</v>
      </c>
      <c r="M868" s="185">
        <v>0</v>
      </c>
      <c r="N868" s="185">
        <v>0</v>
      </c>
      <c r="O868" s="185">
        <v>0</v>
      </c>
      <c r="P868" s="185">
        <v>0</v>
      </c>
      <c r="Q868" s="185">
        <v>0</v>
      </c>
      <c r="R868" s="53"/>
      <c r="S868" s="51"/>
      <c r="T868" s="54"/>
      <c r="U868" s="51"/>
      <c r="V868" s="183" t="s">
        <v>595</v>
      </c>
      <c r="W868" s="190"/>
      <c r="X868" s="84"/>
      <c r="Y868" s="84"/>
      <c r="Z868" s="184"/>
      <c r="AA868" s="51"/>
      <c r="AB868" s="51"/>
      <c r="AC868" s="51"/>
      <c r="AD868" s="51"/>
      <c r="AE868" s="51"/>
      <c r="AF868" s="51"/>
      <c r="AG868" s="62" t="str">
        <f t="shared" si="262"/>
        <v/>
      </c>
    </row>
    <row r="869" spans="1:33" s="64" customFormat="1">
      <c r="A869" s="71"/>
      <c r="B869" s="52" t="str">
        <f>C785</f>
        <v>Naughton - Gas</v>
      </c>
      <c r="C869" s="189"/>
      <c r="D869" s="101"/>
      <c r="E869" s="109">
        <f t="shared" ref="E869:E870" si="264">SUM(F869:Q869)</f>
        <v>0</v>
      </c>
      <c r="F869" s="185">
        <v>0</v>
      </c>
      <c r="G869" s="185">
        <v>0</v>
      </c>
      <c r="H869" s="185">
        <v>0</v>
      </c>
      <c r="I869" s="185">
        <v>0</v>
      </c>
      <c r="J869" s="185">
        <v>0</v>
      </c>
      <c r="K869" s="185">
        <v>0</v>
      </c>
      <c r="L869" s="185">
        <v>0</v>
      </c>
      <c r="M869" s="185">
        <v>0</v>
      </c>
      <c r="N869" s="185">
        <v>0</v>
      </c>
      <c r="O869" s="185">
        <v>0</v>
      </c>
      <c r="P869" s="185">
        <v>0</v>
      </c>
      <c r="Q869" s="185">
        <v>0</v>
      </c>
      <c r="R869" s="53"/>
      <c r="S869" s="51"/>
      <c r="T869" s="54"/>
      <c r="U869" s="51"/>
      <c r="V869" s="183" t="s">
        <v>596</v>
      </c>
      <c r="W869" s="190"/>
      <c r="X869" s="84"/>
      <c r="Y869" s="84"/>
      <c r="Z869" s="184"/>
      <c r="AA869" s="51"/>
      <c r="AB869" s="51"/>
      <c r="AC869" s="51"/>
      <c r="AD869" s="51"/>
      <c r="AE869" s="51"/>
      <c r="AF869" s="51"/>
      <c r="AG869" s="62"/>
    </row>
    <row r="870" spans="1:33" s="64" customFormat="1">
      <c r="A870" s="71"/>
      <c r="B870" s="85" t="s">
        <v>255</v>
      </c>
      <c r="C870" s="189"/>
      <c r="D870" s="101"/>
      <c r="E870" s="92">
        <f t="shared" si="264"/>
        <v>0</v>
      </c>
      <c r="F870" s="92">
        <v>0</v>
      </c>
      <c r="G870" s="92">
        <v>0</v>
      </c>
      <c r="H870" s="92">
        <v>0</v>
      </c>
      <c r="I870" s="92">
        <v>0</v>
      </c>
      <c r="J870" s="92">
        <v>0</v>
      </c>
      <c r="K870" s="92">
        <v>0</v>
      </c>
      <c r="L870" s="92">
        <v>0</v>
      </c>
      <c r="M870" s="92">
        <v>0</v>
      </c>
      <c r="N870" s="92">
        <v>0</v>
      </c>
      <c r="O870" s="92">
        <v>0</v>
      </c>
      <c r="P870" s="92">
        <v>0</v>
      </c>
      <c r="Q870" s="92">
        <v>0</v>
      </c>
      <c r="R870" s="53"/>
      <c r="S870" s="51"/>
      <c r="T870" s="54"/>
      <c r="V870" s="191" t="s">
        <v>597</v>
      </c>
      <c r="W870" s="192" t="s">
        <v>598</v>
      </c>
      <c r="X870" s="192" t="s">
        <v>599</v>
      </c>
      <c r="Y870" s="192" t="s">
        <v>600</v>
      </c>
      <c r="Z870" s="193" t="s">
        <v>601</v>
      </c>
      <c r="AA870" s="51"/>
      <c r="AB870" s="51"/>
      <c r="AC870" s="51"/>
      <c r="AD870" s="51"/>
      <c r="AE870" s="51"/>
      <c r="AF870" s="51"/>
      <c r="AG870" s="62" t="str">
        <f t="shared" ref="AG870" si="265">IF(ISNUMBER(E870),"","Hide Row")</f>
        <v/>
      </c>
    </row>
    <row r="871" spans="1:33">
      <c r="B871" s="58" t="s">
        <v>602</v>
      </c>
      <c r="C871" s="85"/>
      <c r="E871" s="174">
        <f>SUM(F871:Q871)</f>
        <v>1132994.8406000002</v>
      </c>
      <c r="F871" s="174">
        <f>SUM(F861:F870)</f>
        <v>62665.457600000009</v>
      </c>
      <c r="G871" s="174">
        <f t="shared" ref="G871:Q871" si="266">SUM(G861:G870)</f>
        <v>35762.957999999999</v>
      </c>
      <c r="H871" s="174">
        <f t="shared" si="266"/>
        <v>11134.6924</v>
      </c>
      <c r="I871" s="174">
        <f t="shared" si="266"/>
        <v>154878.97110000002</v>
      </c>
      <c r="J871" s="174">
        <f t="shared" si="266"/>
        <v>37796.763899999998</v>
      </c>
      <c r="K871" s="174">
        <f t="shared" si="266"/>
        <v>126509.652</v>
      </c>
      <c r="L871" s="174">
        <f t="shared" si="266"/>
        <v>112795.85130000001</v>
      </c>
      <c r="M871" s="174">
        <f t="shared" si="266"/>
        <v>125052.12100000001</v>
      </c>
      <c r="N871" s="174">
        <f t="shared" si="266"/>
        <v>103824.41049999998</v>
      </c>
      <c r="O871" s="174">
        <f t="shared" si="266"/>
        <v>172084.36669999998</v>
      </c>
      <c r="P871" s="174">
        <f t="shared" si="266"/>
        <v>95371.874000000011</v>
      </c>
      <c r="Q871" s="174">
        <f t="shared" si="266"/>
        <v>95117.722100000014</v>
      </c>
      <c r="U871" s="51" t="s">
        <v>603</v>
      </c>
      <c r="AC871" s="54"/>
      <c r="AG871" s="62" t="str">
        <f t="shared" si="262"/>
        <v/>
      </c>
    </row>
    <row r="872" spans="1:33" hidden="1">
      <c r="C872" s="85"/>
      <c r="E872" s="151"/>
      <c r="F872" s="151"/>
      <c r="G872" s="151"/>
      <c r="H872" s="151"/>
      <c r="I872" s="151"/>
      <c r="J872" s="151"/>
      <c r="K872" s="151"/>
      <c r="L872" s="151"/>
      <c r="M872" s="151"/>
      <c r="N872" s="151"/>
      <c r="O872" s="151"/>
      <c r="P872" s="151"/>
      <c r="Q872" s="151"/>
      <c r="AC872" s="54"/>
      <c r="AG872" s="62" t="str">
        <f t="shared" si="262"/>
        <v>Hide Row</v>
      </c>
    </row>
    <row r="873" spans="1:33" hidden="1">
      <c r="B873" s="84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U873" s="64"/>
      <c r="W873" s="64"/>
      <c r="Y873" s="60"/>
      <c r="AA873" s="60"/>
      <c r="AG873" s="62" t="str">
        <f t="shared" si="262"/>
        <v>Hide Row</v>
      </c>
    </row>
    <row r="874" spans="1:33">
      <c r="E874" s="151"/>
      <c r="F874" s="151"/>
      <c r="G874" s="151"/>
      <c r="H874" s="151"/>
      <c r="I874" s="151"/>
      <c r="J874" s="194" t="s">
        <v>604</v>
      </c>
      <c r="K874" s="151"/>
      <c r="L874" s="151"/>
      <c r="M874" s="151"/>
      <c r="N874" s="151"/>
      <c r="O874" s="151"/>
      <c r="P874" s="151"/>
      <c r="Q874" s="151"/>
      <c r="U874" s="51">
        <v>1</v>
      </c>
      <c r="V874" s="171" t="s">
        <v>605</v>
      </c>
      <c r="AC874" s="54"/>
    </row>
    <row r="875" spans="1:33" s="41" customFormat="1">
      <c r="C875" s="42"/>
      <c r="E875" s="195"/>
      <c r="F875" s="195"/>
      <c r="G875" s="195"/>
      <c r="H875" s="195"/>
      <c r="I875" s="195"/>
      <c r="J875" s="195"/>
      <c r="K875" s="195"/>
      <c r="L875" s="195"/>
      <c r="M875" s="195"/>
      <c r="N875" s="195"/>
      <c r="O875" s="195"/>
      <c r="P875" s="195"/>
      <c r="Q875" s="195"/>
      <c r="R875" s="53"/>
      <c r="T875" s="54"/>
      <c r="U875" s="51">
        <v>1</v>
      </c>
      <c r="V875" s="171" t="s">
        <v>606</v>
      </c>
      <c r="AC875" s="54"/>
    </row>
    <row r="876" spans="1:33" ht="15.75">
      <c r="A876" s="56" t="str">
        <f>A7</f>
        <v>Special Sales For Resale</v>
      </c>
      <c r="E876" s="151"/>
      <c r="F876" s="151"/>
      <c r="G876" s="151"/>
      <c r="H876" s="151"/>
      <c r="I876" s="151"/>
      <c r="J876" s="151"/>
      <c r="K876" s="151"/>
      <c r="L876" s="151"/>
      <c r="M876" s="151"/>
      <c r="N876" s="151"/>
      <c r="O876" s="151"/>
      <c r="P876" s="151"/>
      <c r="Q876" s="151"/>
      <c r="AC876" s="54"/>
    </row>
    <row r="877" spans="1:33">
      <c r="B877" s="51" t="str">
        <f>B336</f>
        <v>Long Term Firm Sales</v>
      </c>
      <c r="E877" s="151"/>
      <c r="F877" s="151"/>
      <c r="G877" s="151"/>
      <c r="H877" s="151"/>
      <c r="I877" s="151"/>
      <c r="J877" s="151"/>
      <c r="K877" s="151"/>
      <c r="L877" s="151"/>
      <c r="M877" s="151"/>
      <c r="N877" s="151"/>
      <c r="O877" s="151"/>
      <c r="P877" s="151"/>
      <c r="Q877" s="151"/>
      <c r="AC877" s="54"/>
    </row>
    <row r="878" spans="1:33">
      <c r="C878" s="58" t="s">
        <v>55</v>
      </c>
      <c r="E878" s="196">
        <f t="shared" ref="E878:Q893" si="267">IF(OR(E337=0,NOT($S337)),0,E9/E337)</f>
        <v>0</v>
      </c>
      <c r="F878" s="196">
        <f t="shared" si="267"/>
        <v>0</v>
      </c>
      <c r="G878" s="196">
        <f t="shared" si="267"/>
        <v>0</v>
      </c>
      <c r="H878" s="196">
        <f t="shared" si="267"/>
        <v>0</v>
      </c>
      <c r="I878" s="196">
        <f t="shared" si="267"/>
        <v>0</v>
      </c>
      <c r="J878" s="196">
        <f t="shared" si="267"/>
        <v>0</v>
      </c>
      <c r="K878" s="196">
        <f t="shared" si="267"/>
        <v>0</v>
      </c>
      <c r="L878" s="196">
        <f t="shared" si="267"/>
        <v>0</v>
      </c>
      <c r="M878" s="196">
        <f t="shared" si="267"/>
        <v>0</v>
      </c>
      <c r="N878" s="196">
        <f t="shared" si="267"/>
        <v>0</v>
      </c>
      <c r="O878" s="196">
        <f t="shared" si="267"/>
        <v>0</v>
      </c>
      <c r="P878" s="196">
        <f t="shared" si="267"/>
        <v>0</v>
      </c>
      <c r="Q878" s="196">
        <f t="shared" si="267"/>
        <v>0</v>
      </c>
      <c r="AC878" s="54"/>
      <c r="AG878" s="62" t="str">
        <f t="shared" ref="AG878:AG897" si="268">AG337</f>
        <v>Hide Row</v>
      </c>
    </row>
    <row r="879" spans="1:33">
      <c r="C879" s="58" t="s">
        <v>58</v>
      </c>
      <c r="E879" s="196">
        <f t="shared" si="267"/>
        <v>0</v>
      </c>
      <c r="F879" s="196">
        <f t="shared" si="267"/>
        <v>0</v>
      </c>
      <c r="G879" s="196">
        <f t="shared" si="267"/>
        <v>0</v>
      </c>
      <c r="H879" s="196">
        <f t="shared" si="267"/>
        <v>0</v>
      </c>
      <c r="I879" s="196">
        <f t="shared" si="267"/>
        <v>0</v>
      </c>
      <c r="J879" s="196">
        <f t="shared" si="267"/>
        <v>0</v>
      </c>
      <c r="K879" s="196">
        <f t="shared" si="267"/>
        <v>0</v>
      </c>
      <c r="L879" s="196">
        <f t="shared" si="267"/>
        <v>0</v>
      </c>
      <c r="M879" s="196">
        <f t="shared" si="267"/>
        <v>0</v>
      </c>
      <c r="N879" s="196">
        <f t="shared" si="267"/>
        <v>0</v>
      </c>
      <c r="O879" s="196">
        <f t="shared" si="267"/>
        <v>0</v>
      </c>
      <c r="P879" s="196">
        <f t="shared" si="267"/>
        <v>0</v>
      </c>
      <c r="Q879" s="196">
        <f t="shared" si="267"/>
        <v>0</v>
      </c>
      <c r="AC879" s="54"/>
      <c r="AG879" s="62" t="str">
        <f t="shared" si="268"/>
        <v>Hide Row</v>
      </c>
    </row>
    <row r="880" spans="1:33" hidden="1">
      <c r="C880" s="58" t="s">
        <v>60</v>
      </c>
      <c r="E880" s="196">
        <f t="shared" si="267"/>
        <v>30.408510501748619</v>
      </c>
      <c r="F880" s="196">
        <f t="shared" si="267"/>
        <v>23.993817911917457</v>
      </c>
      <c r="G880" s="196">
        <f t="shared" si="267"/>
        <v>22.100556722518455</v>
      </c>
      <c r="H880" s="196">
        <f t="shared" si="267"/>
        <v>22.864578816583535</v>
      </c>
      <c r="I880" s="196">
        <f t="shared" si="267"/>
        <v>39.362790812916721</v>
      </c>
      <c r="J880" s="196">
        <f t="shared" si="267"/>
        <v>43.219387816118392</v>
      </c>
      <c r="K880" s="196">
        <f t="shared" si="267"/>
        <v>42.727162149874964</v>
      </c>
      <c r="L880" s="196">
        <f t="shared" si="267"/>
        <v>36.317773615387949</v>
      </c>
      <c r="M880" s="196">
        <f t="shared" si="267"/>
        <v>37.699998443933367</v>
      </c>
      <c r="N880" s="196">
        <f t="shared" si="267"/>
        <v>0</v>
      </c>
      <c r="O880" s="196">
        <f t="shared" si="267"/>
        <v>0</v>
      </c>
      <c r="P880" s="196">
        <f t="shared" si="267"/>
        <v>40.490885140192773</v>
      </c>
      <c r="Q880" s="196">
        <f t="shared" si="267"/>
        <v>35.49357813122122</v>
      </c>
      <c r="AC880" s="54"/>
      <c r="AG880" s="62" t="str">
        <f t="shared" si="268"/>
        <v/>
      </c>
    </row>
    <row r="881" spans="3:33">
      <c r="C881" s="58" t="s">
        <v>62</v>
      </c>
      <c r="E881" s="196">
        <f t="shared" si="267"/>
        <v>0</v>
      </c>
      <c r="F881" s="196">
        <f t="shared" si="267"/>
        <v>0</v>
      </c>
      <c r="G881" s="196">
        <f t="shared" si="267"/>
        <v>0</v>
      </c>
      <c r="H881" s="196">
        <f t="shared" si="267"/>
        <v>0</v>
      </c>
      <c r="I881" s="196">
        <f t="shared" si="267"/>
        <v>0</v>
      </c>
      <c r="J881" s="196">
        <f t="shared" si="267"/>
        <v>0</v>
      </c>
      <c r="K881" s="196">
        <f t="shared" si="267"/>
        <v>0</v>
      </c>
      <c r="L881" s="196">
        <f t="shared" si="267"/>
        <v>0</v>
      </c>
      <c r="M881" s="196">
        <f t="shared" si="267"/>
        <v>0</v>
      </c>
      <c r="N881" s="196">
        <f t="shared" si="267"/>
        <v>0</v>
      </c>
      <c r="O881" s="196">
        <f t="shared" si="267"/>
        <v>0</v>
      </c>
      <c r="P881" s="196">
        <f t="shared" si="267"/>
        <v>0</v>
      </c>
      <c r="Q881" s="196">
        <f t="shared" si="267"/>
        <v>0</v>
      </c>
      <c r="AC881" s="54"/>
      <c r="AG881" s="62" t="str">
        <f t="shared" si="268"/>
        <v>Hide Row</v>
      </c>
    </row>
    <row r="882" spans="3:33">
      <c r="C882" s="58" t="s">
        <v>64</v>
      </c>
      <c r="E882" s="196">
        <f t="shared" si="267"/>
        <v>0</v>
      </c>
      <c r="F882" s="196">
        <f t="shared" si="267"/>
        <v>0</v>
      </c>
      <c r="G882" s="196">
        <f t="shared" si="267"/>
        <v>0</v>
      </c>
      <c r="H882" s="196">
        <f t="shared" si="267"/>
        <v>0</v>
      </c>
      <c r="I882" s="196">
        <f t="shared" si="267"/>
        <v>0</v>
      </c>
      <c r="J882" s="196">
        <f t="shared" si="267"/>
        <v>0</v>
      </c>
      <c r="K882" s="196">
        <f t="shared" si="267"/>
        <v>0</v>
      </c>
      <c r="L882" s="196">
        <f t="shared" si="267"/>
        <v>0</v>
      </c>
      <c r="M882" s="196">
        <f t="shared" si="267"/>
        <v>0</v>
      </c>
      <c r="N882" s="196">
        <f t="shared" si="267"/>
        <v>0</v>
      </c>
      <c r="O882" s="196">
        <f t="shared" si="267"/>
        <v>0</v>
      </c>
      <c r="P882" s="196">
        <f t="shared" si="267"/>
        <v>0</v>
      </c>
      <c r="Q882" s="196">
        <f t="shared" si="267"/>
        <v>0</v>
      </c>
      <c r="AC882" s="54"/>
      <c r="AG882" s="62" t="str">
        <f t="shared" si="268"/>
        <v>Hide Row</v>
      </c>
    </row>
    <row r="883" spans="3:33" hidden="1">
      <c r="C883" s="58" t="s">
        <v>66</v>
      </c>
      <c r="E883" s="196">
        <f t="shared" si="267"/>
        <v>0</v>
      </c>
      <c r="F883" s="196">
        <f t="shared" si="267"/>
        <v>0</v>
      </c>
      <c r="G883" s="196">
        <f t="shared" si="267"/>
        <v>0</v>
      </c>
      <c r="H883" s="196">
        <f t="shared" si="267"/>
        <v>0</v>
      </c>
      <c r="I883" s="196">
        <f t="shared" si="267"/>
        <v>0</v>
      </c>
      <c r="J883" s="196">
        <f t="shared" si="267"/>
        <v>0</v>
      </c>
      <c r="K883" s="196">
        <f t="shared" si="267"/>
        <v>0</v>
      </c>
      <c r="L883" s="196">
        <f t="shared" si="267"/>
        <v>0</v>
      </c>
      <c r="M883" s="196">
        <f t="shared" si="267"/>
        <v>0</v>
      </c>
      <c r="N883" s="196">
        <f t="shared" si="267"/>
        <v>0</v>
      </c>
      <c r="O883" s="196">
        <f t="shared" si="267"/>
        <v>0</v>
      </c>
      <c r="P883" s="196">
        <f t="shared" si="267"/>
        <v>0</v>
      </c>
      <c r="Q883" s="196">
        <f t="shared" si="267"/>
        <v>0</v>
      </c>
      <c r="AC883" s="54"/>
      <c r="AG883" s="62" t="str">
        <f t="shared" si="268"/>
        <v/>
      </c>
    </row>
    <row r="884" spans="3:33" hidden="1">
      <c r="C884" s="58" t="s">
        <v>67</v>
      </c>
      <c r="E884" s="196">
        <f t="shared" si="267"/>
        <v>0</v>
      </c>
      <c r="F884" s="196">
        <f t="shared" si="267"/>
        <v>0</v>
      </c>
      <c r="G884" s="196">
        <f t="shared" si="267"/>
        <v>0</v>
      </c>
      <c r="H884" s="196">
        <f t="shared" si="267"/>
        <v>0</v>
      </c>
      <c r="I884" s="196">
        <f t="shared" si="267"/>
        <v>0</v>
      </c>
      <c r="J884" s="196">
        <f t="shared" si="267"/>
        <v>0</v>
      </c>
      <c r="K884" s="196">
        <f t="shared" si="267"/>
        <v>0</v>
      </c>
      <c r="L884" s="196">
        <f t="shared" si="267"/>
        <v>0</v>
      </c>
      <c r="M884" s="196">
        <f t="shared" si="267"/>
        <v>0</v>
      </c>
      <c r="N884" s="196">
        <f t="shared" si="267"/>
        <v>0</v>
      </c>
      <c r="O884" s="196">
        <f t="shared" si="267"/>
        <v>0</v>
      </c>
      <c r="P884" s="196">
        <f t="shared" si="267"/>
        <v>0</v>
      </c>
      <c r="Q884" s="196">
        <f t="shared" si="267"/>
        <v>0</v>
      </c>
      <c r="AC884" s="54"/>
      <c r="AG884" s="62" t="str">
        <f t="shared" si="268"/>
        <v>Hide Row</v>
      </c>
    </row>
    <row r="885" spans="3:33" hidden="1">
      <c r="C885" s="58" t="s">
        <v>68</v>
      </c>
      <c r="E885" s="196">
        <f t="shared" si="267"/>
        <v>0</v>
      </c>
      <c r="F885" s="196">
        <f t="shared" si="267"/>
        <v>0</v>
      </c>
      <c r="G885" s="196">
        <f t="shared" si="267"/>
        <v>0</v>
      </c>
      <c r="H885" s="196">
        <f t="shared" si="267"/>
        <v>0</v>
      </c>
      <c r="I885" s="196">
        <f t="shared" si="267"/>
        <v>0</v>
      </c>
      <c r="J885" s="196">
        <f t="shared" si="267"/>
        <v>0</v>
      </c>
      <c r="K885" s="196">
        <f t="shared" si="267"/>
        <v>0</v>
      </c>
      <c r="L885" s="196">
        <f t="shared" si="267"/>
        <v>0</v>
      </c>
      <c r="M885" s="196">
        <f t="shared" si="267"/>
        <v>0</v>
      </c>
      <c r="N885" s="196">
        <f t="shared" si="267"/>
        <v>0</v>
      </c>
      <c r="O885" s="196">
        <f t="shared" si="267"/>
        <v>0</v>
      </c>
      <c r="P885" s="196">
        <f t="shared" si="267"/>
        <v>0</v>
      </c>
      <c r="Q885" s="196">
        <f t="shared" si="267"/>
        <v>0</v>
      </c>
      <c r="AC885" s="54"/>
      <c r="AG885" s="62" t="str">
        <f t="shared" si="268"/>
        <v>Hide Row</v>
      </c>
    </row>
    <row r="886" spans="3:33" hidden="1">
      <c r="C886" s="58" t="s">
        <v>70</v>
      </c>
      <c r="E886" s="196">
        <f t="shared" si="267"/>
        <v>0</v>
      </c>
      <c r="F886" s="196">
        <f t="shared" si="267"/>
        <v>0</v>
      </c>
      <c r="G886" s="196">
        <f t="shared" si="267"/>
        <v>0</v>
      </c>
      <c r="H886" s="196">
        <f t="shared" si="267"/>
        <v>0</v>
      </c>
      <c r="I886" s="196">
        <f t="shared" si="267"/>
        <v>0</v>
      </c>
      <c r="J886" s="196">
        <f t="shared" si="267"/>
        <v>0</v>
      </c>
      <c r="K886" s="196">
        <f t="shared" si="267"/>
        <v>0</v>
      </c>
      <c r="L886" s="196">
        <f t="shared" si="267"/>
        <v>0</v>
      </c>
      <c r="M886" s="196">
        <f t="shared" si="267"/>
        <v>0</v>
      </c>
      <c r="N886" s="196">
        <f t="shared" si="267"/>
        <v>0</v>
      </c>
      <c r="O886" s="196">
        <f t="shared" si="267"/>
        <v>0</v>
      </c>
      <c r="P886" s="196">
        <f t="shared" si="267"/>
        <v>0</v>
      </c>
      <c r="Q886" s="196">
        <f t="shared" si="267"/>
        <v>0</v>
      </c>
      <c r="AC886" s="54"/>
      <c r="AG886" s="62" t="str">
        <f t="shared" si="268"/>
        <v>Hide Row</v>
      </c>
    </row>
    <row r="887" spans="3:33" hidden="1">
      <c r="C887" s="58" t="s">
        <v>73</v>
      </c>
      <c r="E887" s="196">
        <f t="shared" si="267"/>
        <v>0</v>
      </c>
      <c r="F887" s="196">
        <f t="shared" si="267"/>
        <v>0</v>
      </c>
      <c r="G887" s="196">
        <f t="shared" si="267"/>
        <v>0</v>
      </c>
      <c r="H887" s="196">
        <f t="shared" si="267"/>
        <v>0</v>
      </c>
      <c r="I887" s="196">
        <f t="shared" si="267"/>
        <v>0</v>
      </c>
      <c r="J887" s="196">
        <f t="shared" si="267"/>
        <v>0</v>
      </c>
      <c r="K887" s="196">
        <f t="shared" si="267"/>
        <v>0</v>
      </c>
      <c r="L887" s="196">
        <f t="shared" si="267"/>
        <v>0</v>
      </c>
      <c r="M887" s="196">
        <f t="shared" si="267"/>
        <v>0</v>
      </c>
      <c r="N887" s="196">
        <f t="shared" si="267"/>
        <v>0</v>
      </c>
      <c r="O887" s="196">
        <f t="shared" si="267"/>
        <v>0</v>
      </c>
      <c r="P887" s="196">
        <f t="shared" si="267"/>
        <v>0</v>
      </c>
      <c r="Q887" s="196">
        <f t="shared" si="267"/>
        <v>0</v>
      </c>
      <c r="AC887" s="54"/>
      <c r="AG887" s="62" t="str">
        <f t="shared" si="268"/>
        <v>Hide Row</v>
      </c>
    </row>
    <row r="888" spans="3:33" hidden="1">
      <c r="C888" s="58" t="s">
        <v>75</v>
      </c>
      <c r="E888" s="196">
        <f t="shared" si="267"/>
        <v>0</v>
      </c>
      <c r="F888" s="196">
        <f t="shared" si="267"/>
        <v>0</v>
      </c>
      <c r="G888" s="196">
        <f t="shared" si="267"/>
        <v>0</v>
      </c>
      <c r="H888" s="196">
        <f t="shared" si="267"/>
        <v>0</v>
      </c>
      <c r="I888" s="196">
        <f t="shared" si="267"/>
        <v>0</v>
      </c>
      <c r="J888" s="196">
        <f t="shared" si="267"/>
        <v>0</v>
      </c>
      <c r="K888" s="196">
        <f t="shared" si="267"/>
        <v>0</v>
      </c>
      <c r="L888" s="196">
        <f t="shared" si="267"/>
        <v>0</v>
      </c>
      <c r="M888" s="196">
        <f t="shared" si="267"/>
        <v>0</v>
      </c>
      <c r="N888" s="196">
        <f t="shared" si="267"/>
        <v>0</v>
      </c>
      <c r="O888" s="196">
        <f t="shared" si="267"/>
        <v>0</v>
      </c>
      <c r="P888" s="196">
        <f t="shared" si="267"/>
        <v>0</v>
      </c>
      <c r="Q888" s="196">
        <f t="shared" si="267"/>
        <v>0</v>
      </c>
      <c r="AC888" s="54"/>
      <c r="AG888" s="62" t="str">
        <f t="shared" si="268"/>
        <v>Hide Row</v>
      </c>
    </row>
    <row r="889" spans="3:33" hidden="1">
      <c r="C889" s="58" t="s">
        <v>76</v>
      </c>
      <c r="E889" s="196">
        <f t="shared" si="267"/>
        <v>0</v>
      </c>
      <c r="F889" s="196">
        <f t="shared" si="267"/>
        <v>0</v>
      </c>
      <c r="G889" s="196">
        <f t="shared" si="267"/>
        <v>0</v>
      </c>
      <c r="H889" s="196">
        <f t="shared" si="267"/>
        <v>0</v>
      </c>
      <c r="I889" s="196">
        <f t="shared" si="267"/>
        <v>0</v>
      </c>
      <c r="J889" s="196">
        <f t="shared" si="267"/>
        <v>0</v>
      </c>
      <c r="K889" s="196">
        <f t="shared" si="267"/>
        <v>0</v>
      </c>
      <c r="L889" s="196">
        <f t="shared" si="267"/>
        <v>0</v>
      </c>
      <c r="M889" s="196">
        <f t="shared" si="267"/>
        <v>0</v>
      </c>
      <c r="N889" s="196">
        <f t="shared" si="267"/>
        <v>0</v>
      </c>
      <c r="O889" s="196">
        <f t="shared" si="267"/>
        <v>0</v>
      </c>
      <c r="P889" s="196">
        <f t="shared" si="267"/>
        <v>0</v>
      </c>
      <c r="Q889" s="196">
        <f t="shared" si="267"/>
        <v>0</v>
      </c>
      <c r="AC889" s="54"/>
      <c r="AG889" s="62" t="str">
        <f t="shared" si="268"/>
        <v>Hide Row</v>
      </c>
    </row>
    <row r="890" spans="3:33" hidden="1">
      <c r="C890" s="58" t="s">
        <v>78</v>
      </c>
      <c r="E890" s="196">
        <f t="shared" si="267"/>
        <v>0</v>
      </c>
      <c r="F890" s="196">
        <f t="shared" si="267"/>
        <v>0</v>
      </c>
      <c r="G890" s="196">
        <f t="shared" si="267"/>
        <v>0</v>
      </c>
      <c r="H890" s="196">
        <f t="shared" si="267"/>
        <v>0</v>
      </c>
      <c r="I890" s="196">
        <f t="shared" si="267"/>
        <v>0</v>
      </c>
      <c r="J890" s="196">
        <f t="shared" si="267"/>
        <v>0</v>
      </c>
      <c r="K890" s="196">
        <f t="shared" si="267"/>
        <v>0</v>
      </c>
      <c r="L890" s="196">
        <f t="shared" si="267"/>
        <v>0</v>
      </c>
      <c r="M890" s="196">
        <f t="shared" si="267"/>
        <v>0</v>
      </c>
      <c r="N890" s="196">
        <f t="shared" si="267"/>
        <v>0</v>
      </c>
      <c r="O890" s="196">
        <f t="shared" si="267"/>
        <v>0</v>
      </c>
      <c r="P890" s="196">
        <f t="shared" si="267"/>
        <v>0</v>
      </c>
      <c r="Q890" s="196">
        <f t="shared" si="267"/>
        <v>0</v>
      </c>
      <c r="AC890" s="54"/>
      <c r="AG890" s="62" t="str">
        <f t="shared" si="268"/>
        <v>Hide Row</v>
      </c>
    </row>
    <row r="891" spans="3:33">
      <c r="C891" s="58" t="s">
        <v>79</v>
      </c>
      <c r="E891" s="196">
        <f t="shared" si="267"/>
        <v>0</v>
      </c>
      <c r="F891" s="196">
        <f t="shared" si="267"/>
        <v>0</v>
      </c>
      <c r="G891" s="196">
        <f t="shared" si="267"/>
        <v>0</v>
      </c>
      <c r="H891" s="196">
        <f t="shared" si="267"/>
        <v>0</v>
      </c>
      <c r="I891" s="196">
        <f t="shared" si="267"/>
        <v>0</v>
      </c>
      <c r="J891" s="196">
        <f t="shared" si="267"/>
        <v>0</v>
      </c>
      <c r="K891" s="196">
        <f t="shared" si="267"/>
        <v>0</v>
      </c>
      <c r="L891" s="196">
        <f t="shared" si="267"/>
        <v>0</v>
      </c>
      <c r="M891" s="196">
        <f t="shared" si="267"/>
        <v>0</v>
      </c>
      <c r="N891" s="196">
        <f t="shared" si="267"/>
        <v>0</v>
      </c>
      <c r="O891" s="196">
        <f t="shared" si="267"/>
        <v>0</v>
      </c>
      <c r="P891" s="196">
        <f t="shared" si="267"/>
        <v>0</v>
      </c>
      <c r="Q891" s="196">
        <f t="shared" si="267"/>
        <v>0</v>
      </c>
      <c r="AC891" s="54"/>
      <c r="AG891" s="62" t="str">
        <f t="shared" si="268"/>
        <v>Hide Row</v>
      </c>
    </row>
    <row r="892" spans="3:33" hidden="1">
      <c r="C892" s="58" t="s">
        <v>85</v>
      </c>
      <c r="E892" s="196">
        <f t="shared" si="267"/>
        <v>0</v>
      </c>
      <c r="F892" s="196">
        <f t="shared" si="267"/>
        <v>0</v>
      </c>
      <c r="G892" s="196">
        <f t="shared" si="267"/>
        <v>0</v>
      </c>
      <c r="H892" s="196">
        <f t="shared" si="267"/>
        <v>0</v>
      </c>
      <c r="I892" s="196">
        <f t="shared" si="267"/>
        <v>0</v>
      </c>
      <c r="J892" s="196">
        <f t="shared" si="267"/>
        <v>0</v>
      </c>
      <c r="K892" s="196">
        <f t="shared" si="267"/>
        <v>0</v>
      </c>
      <c r="L892" s="196">
        <f t="shared" si="267"/>
        <v>0</v>
      </c>
      <c r="M892" s="196">
        <f t="shared" si="267"/>
        <v>0</v>
      </c>
      <c r="N892" s="196">
        <f t="shared" si="267"/>
        <v>0</v>
      </c>
      <c r="O892" s="196">
        <f t="shared" si="267"/>
        <v>0</v>
      </c>
      <c r="P892" s="196">
        <f t="shared" si="267"/>
        <v>0</v>
      </c>
      <c r="Q892" s="196">
        <f t="shared" si="267"/>
        <v>0</v>
      </c>
      <c r="AC892" s="54"/>
      <c r="AG892" s="62" t="str">
        <f t="shared" si="268"/>
        <v>Hide Row</v>
      </c>
    </row>
    <row r="893" spans="3:33" hidden="1">
      <c r="C893" s="58">
        <v>0</v>
      </c>
      <c r="E893" s="196">
        <f t="shared" si="267"/>
        <v>0</v>
      </c>
      <c r="F893" s="196">
        <f t="shared" si="267"/>
        <v>0</v>
      </c>
      <c r="G893" s="196">
        <f t="shared" si="267"/>
        <v>0</v>
      </c>
      <c r="H893" s="196">
        <f t="shared" si="267"/>
        <v>0</v>
      </c>
      <c r="I893" s="196">
        <f t="shared" si="267"/>
        <v>0</v>
      </c>
      <c r="J893" s="196">
        <f t="shared" si="267"/>
        <v>0</v>
      </c>
      <c r="K893" s="196">
        <f t="shared" si="267"/>
        <v>0</v>
      </c>
      <c r="L893" s="196">
        <f t="shared" si="267"/>
        <v>0</v>
      </c>
      <c r="M893" s="196">
        <f t="shared" si="267"/>
        <v>0</v>
      </c>
      <c r="N893" s="196">
        <f t="shared" si="267"/>
        <v>0</v>
      </c>
      <c r="O893" s="196">
        <f t="shared" si="267"/>
        <v>0</v>
      </c>
      <c r="P893" s="196">
        <f t="shared" si="267"/>
        <v>0</v>
      </c>
      <c r="Q893" s="196">
        <f t="shared" si="267"/>
        <v>0</v>
      </c>
      <c r="AC893" s="54"/>
      <c r="AG893" s="62" t="str">
        <f t="shared" si="268"/>
        <v>Hide Row</v>
      </c>
    </row>
    <row r="894" spans="3:33" hidden="1">
      <c r="C894" s="58"/>
      <c r="E894" s="196"/>
      <c r="F894" s="196"/>
      <c r="G894" s="196"/>
      <c r="H894" s="196"/>
      <c r="I894" s="196"/>
      <c r="J894" s="196"/>
      <c r="K894" s="196"/>
      <c r="L894" s="196"/>
      <c r="M894" s="196"/>
      <c r="N894" s="196"/>
      <c r="O894" s="196"/>
      <c r="P894" s="196"/>
      <c r="Q894" s="196"/>
      <c r="AC894" s="54"/>
      <c r="AG894" s="62" t="str">
        <f t="shared" si="268"/>
        <v>Hide Row</v>
      </c>
    </row>
    <row r="895" spans="3:33" hidden="1">
      <c r="C895" s="58"/>
      <c r="E895" s="196"/>
      <c r="F895" s="196"/>
      <c r="G895" s="196"/>
      <c r="H895" s="196"/>
      <c r="I895" s="196"/>
      <c r="J895" s="196"/>
      <c r="K895" s="196"/>
      <c r="L895" s="196"/>
      <c r="M895" s="196"/>
      <c r="N895" s="196"/>
      <c r="O895" s="196"/>
      <c r="P895" s="196"/>
      <c r="Q895" s="196"/>
      <c r="AC895" s="54"/>
      <c r="AG895" s="62" t="str">
        <f t="shared" si="268"/>
        <v>Hide Row</v>
      </c>
    </row>
    <row r="896" spans="3:33" hidden="1">
      <c r="C896" s="58"/>
      <c r="E896" s="196"/>
      <c r="F896" s="196"/>
      <c r="G896" s="196"/>
      <c r="H896" s="196"/>
      <c r="I896" s="196"/>
      <c r="J896" s="196"/>
      <c r="K896" s="196"/>
      <c r="L896" s="196"/>
      <c r="M896" s="196"/>
      <c r="N896" s="196"/>
      <c r="O896" s="196"/>
      <c r="P896" s="196"/>
      <c r="Q896" s="196"/>
      <c r="AC896" s="54"/>
      <c r="AG896" s="62" t="str">
        <f t="shared" si="268"/>
        <v>Hide Row</v>
      </c>
    </row>
    <row r="897" spans="2:33">
      <c r="C897" s="58" t="s">
        <v>86</v>
      </c>
      <c r="E897" s="196">
        <f t="shared" ref="E897:Q897" si="269">IF(OR(E356=0,NOT($S356)),0,E28/E356)</f>
        <v>0</v>
      </c>
      <c r="F897" s="196">
        <f t="shared" si="269"/>
        <v>0</v>
      </c>
      <c r="G897" s="196">
        <f t="shared" si="269"/>
        <v>0</v>
      </c>
      <c r="H897" s="196">
        <f t="shared" si="269"/>
        <v>0</v>
      </c>
      <c r="I897" s="196">
        <f t="shared" si="269"/>
        <v>0</v>
      </c>
      <c r="J897" s="196">
        <f t="shared" si="269"/>
        <v>0</v>
      </c>
      <c r="K897" s="196">
        <f t="shared" si="269"/>
        <v>0</v>
      </c>
      <c r="L897" s="196">
        <f t="shared" si="269"/>
        <v>0</v>
      </c>
      <c r="M897" s="196">
        <f t="shared" si="269"/>
        <v>0</v>
      </c>
      <c r="N897" s="196">
        <f t="shared" si="269"/>
        <v>0</v>
      </c>
      <c r="O897" s="196">
        <f t="shared" si="269"/>
        <v>0</v>
      </c>
      <c r="P897" s="196">
        <f t="shared" si="269"/>
        <v>0</v>
      </c>
      <c r="Q897" s="196">
        <f t="shared" si="269"/>
        <v>0</v>
      </c>
      <c r="AC897" s="54"/>
      <c r="AG897" s="62" t="str">
        <f t="shared" si="268"/>
        <v>Hide Row</v>
      </c>
    </row>
    <row r="898" spans="2:33">
      <c r="C898" s="58"/>
      <c r="E898" s="196"/>
      <c r="F898" s="196"/>
      <c r="G898" s="196"/>
      <c r="H898" s="196"/>
      <c r="I898" s="196"/>
      <c r="J898" s="196"/>
      <c r="K898" s="196"/>
      <c r="L898" s="196"/>
      <c r="M898" s="196"/>
      <c r="N898" s="196"/>
      <c r="O898" s="196"/>
      <c r="P898" s="196"/>
      <c r="Q898" s="196"/>
      <c r="AC898" s="54"/>
    </row>
    <row r="899" spans="2:33">
      <c r="B899" s="51" t="str">
        <f>B358</f>
        <v>Total Long Term Firm Sales</v>
      </c>
      <c r="C899" s="58"/>
      <c r="E899" s="196">
        <f t="shared" ref="E899:Q899" si="270">IF(E358=0,0,E30/E358)</f>
        <v>30.482955935300655</v>
      </c>
      <c r="F899" s="196">
        <f t="shared" si="270"/>
        <v>24.023995825348603</v>
      </c>
      <c r="G899" s="196">
        <f t="shared" si="270"/>
        <v>22.132556237922508</v>
      </c>
      <c r="H899" s="196">
        <f t="shared" si="270"/>
        <v>22.889366347951572</v>
      </c>
      <c r="I899" s="196">
        <f t="shared" si="270"/>
        <v>39.419108912568717</v>
      </c>
      <c r="J899" s="196">
        <f t="shared" si="270"/>
        <v>43.293912155503641</v>
      </c>
      <c r="K899" s="196">
        <f t="shared" si="270"/>
        <v>42.953902952421998</v>
      </c>
      <c r="L899" s="196">
        <f t="shared" si="270"/>
        <v>36.415386993181492</v>
      </c>
      <c r="M899" s="196">
        <f t="shared" si="270"/>
        <v>40.151109319905515</v>
      </c>
      <c r="N899" s="196">
        <f t="shared" si="270"/>
        <v>0</v>
      </c>
      <c r="O899" s="196">
        <f t="shared" si="270"/>
        <v>0</v>
      </c>
      <c r="P899" s="196">
        <f t="shared" si="270"/>
        <v>40.773319389162893</v>
      </c>
      <c r="Q899" s="196">
        <f t="shared" si="270"/>
        <v>35.608171039796289</v>
      </c>
      <c r="AC899" s="54"/>
    </row>
    <row r="900" spans="2:33">
      <c r="E900" s="196"/>
      <c r="F900" s="196"/>
      <c r="G900" s="196"/>
      <c r="H900" s="196"/>
      <c r="I900" s="196"/>
      <c r="J900" s="196"/>
      <c r="K900" s="196"/>
      <c r="L900" s="196"/>
      <c r="M900" s="196"/>
      <c r="N900" s="196"/>
      <c r="O900" s="196"/>
      <c r="P900" s="196"/>
      <c r="Q900" s="196"/>
      <c r="AC900" s="54"/>
    </row>
    <row r="901" spans="2:33">
      <c r="B901" s="51" t="str">
        <f>B360</f>
        <v>Short Term Firm Sales</v>
      </c>
      <c r="E901" s="196"/>
      <c r="F901" s="196"/>
      <c r="G901" s="196"/>
      <c r="H901" s="196"/>
      <c r="I901" s="196"/>
      <c r="J901" s="196"/>
      <c r="K901" s="196"/>
      <c r="L901" s="196"/>
      <c r="M901" s="196"/>
      <c r="N901" s="196"/>
      <c r="O901" s="196"/>
      <c r="P901" s="196"/>
      <c r="Q901" s="196"/>
      <c r="AC901" s="54"/>
    </row>
    <row r="902" spans="2:33">
      <c r="C902" s="91" t="s">
        <v>90</v>
      </c>
      <c r="E902" s="196">
        <f t="shared" ref="E902:Q915" si="271">IF(E361=0,0,E33/E361)</f>
        <v>0</v>
      </c>
      <c r="F902" s="196">
        <f t="shared" si="271"/>
        <v>0</v>
      </c>
      <c r="G902" s="196">
        <f t="shared" si="271"/>
        <v>0</v>
      </c>
      <c r="H902" s="196">
        <f t="shared" si="271"/>
        <v>0</v>
      </c>
      <c r="I902" s="196">
        <f t="shared" si="271"/>
        <v>0</v>
      </c>
      <c r="J902" s="196">
        <f t="shared" si="271"/>
        <v>0</v>
      </c>
      <c r="K902" s="196">
        <f t="shared" si="271"/>
        <v>0</v>
      </c>
      <c r="L902" s="196">
        <f t="shared" si="271"/>
        <v>0</v>
      </c>
      <c r="M902" s="196">
        <f t="shared" si="271"/>
        <v>0</v>
      </c>
      <c r="N902" s="196">
        <f t="shared" si="271"/>
        <v>0</v>
      </c>
      <c r="O902" s="196">
        <f t="shared" si="271"/>
        <v>0</v>
      </c>
      <c r="P902" s="196">
        <f t="shared" si="271"/>
        <v>0</v>
      </c>
      <c r="Q902" s="196">
        <f t="shared" si="271"/>
        <v>0</v>
      </c>
      <c r="AC902" s="54"/>
      <c r="AG902" s="62" t="str">
        <f t="shared" ref="AG902:AG918" si="272">AG361</f>
        <v>Hide Row</v>
      </c>
    </row>
    <row r="903" spans="2:33">
      <c r="C903" s="91" t="s">
        <v>91</v>
      </c>
      <c r="E903" s="196">
        <f t="shared" si="271"/>
        <v>0</v>
      </c>
      <c r="F903" s="196">
        <f t="shared" si="271"/>
        <v>0</v>
      </c>
      <c r="G903" s="196">
        <f t="shared" si="271"/>
        <v>0</v>
      </c>
      <c r="H903" s="196">
        <f t="shared" si="271"/>
        <v>0</v>
      </c>
      <c r="I903" s="196">
        <f t="shared" si="271"/>
        <v>0</v>
      </c>
      <c r="J903" s="196">
        <f t="shared" si="271"/>
        <v>0</v>
      </c>
      <c r="K903" s="196">
        <f t="shared" si="271"/>
        <v>0</v>
      </c>
      <c r="L903" s="196">
        <f t="shared" si="271"/>
        <v>0</v>
      </c>
      <c r="M903" s="196">
        <f t="shared" si="271"/>
        <v>0</v>
      </c>
      <c r="N903" s="196">
        <f t="shared" si="271"/>
        <v>0</v>
      </c>
      <c r="O903" s="196">
        <f t="shared" si="271"/>
        <v>0</v>
      </c>
      <c r="P903" s="196">
        <f t="shared" si="271"/>
        <v>0</v>
      </c>
      <c r="Q903" s="196">
        <f t="shared" si="271"/>
        <v>0</v>
      </c>
      <c r="AC903" s="54"/>
      <c r="AG903" s="62" t="str">
        <f t="shared" si="272"/>
        <v>Hide Row</v>
      </c>
    </row>
    <row r="904" spans="2:33" hidden="1">
      <c r="C904" s="91" t="s">
        <v>93</v>
      </c>
      <c r="E904" s="196">
        <f t="shared" si="271"/>
        <v>0</v>
      </c>
      <c r="F904" s="196">
        <f t="shared" si="271"/>
        <v>0</v>
      </c>
      <c r="G904" s="196">
        <f t="shared" si="271"/>
        <v>0</v>
      </c>
      <c r="H904" s="196">
        <f t="shared" si="271"/>
        <v>0</v>
      </c>
      <c r="I904" s="196">
        <f t="shared" si="271"/>
        <v>0</v>
      </c>
      <c r="J904" s="196">
        <f t="shared" si="271"/>
        <v>0</v>
      </c>
      <c r="K904" s="196">
        <f t="shared" si="271"/>
        <v>0</v>
      </c>
      <c r="L904" s="196">
        <f t="shared" si="271"/>
        <v>0</v>
      </c>
      <c r="M904" s="196">
        <f t="shared" si="271"/>
        <v>0</v>
      </c>
      <c r="N904" s="196">
        <f t="shared" si="271"/>
        <v>0</v>
      </c>
      <c r="O904" s="196">
        <f t="shared" si="271"/>
        <v>0</v>
      </c>
      <c r="P904" s="196">
        <f t="shared" si="271"/>
        <v>0</v>
      </c>
      <c r="Q904" s="196">
        <f t="shared" si="271"/>
        <v>0</v>
      </c>
      <c r="AC904" s="54"/>
      <c r="AG904" s="62" t="str">
        <f t="shared" si="272"/>
        <v>Hide Row</v>
      </c>
    </row>
    <row r="905" spans="2:33" hidden="1">
      <c r="C905" s="91" t="s">
        <v>95</v>
      </c>
      <c r="E905" s="196">
        <f t="shared" si="271"/>
        <v>0</v>
      </c>
      <c r="F905" s="196">
        <f t="shared" si="271"/>
        <v>0</v>
      </c>
      <c r="G905" s="196">
        <f t="shared" si="271"/>
        <v>0</v>
      </c>
      <c r="H905" s="196">
        <f t="shared" si="271"/>
        <v>0</v>
      </c>
      <c r="I905" s="196">
        <f t="shared" si="271"/>
        <v>0</v>
      </c>
      <c r="J905" s="196">
        <f t="shared" si="271"/>
        <v>0</v>
      </c>
      <c r="K905" s="196">
        <f t="shared" si="271"/>
        <v>0</v>
      </c>
      <c r="L905" s="196">
        <f t="shared" si="271"/>
        <v>0</v>
      </c>
      <c r="M905" s="196">
        <f t="shared" si="271"/>
        <v>0</v>
      </c>
      <c r="N905" s="196">
        <f t="shared" si="271"/>
        <v>0</v>
      </c>
      <c r="O905" s="196">
        <f t="shared" si="271"/>
        <v>0</v>
      </c>
      <c r="P905" s="196">
        <f t="shared" si="271"/>
        <v>0</v>
      </c>
      <c r="Q905" s="196">
        <f t="shared" si="271"/>
        <v>0</v>
      </c>
      <c r="AC905" s="54"/>
      <c r="AG905" s="62" t="str">
        <f t="shared" si="272"/>
        <v>Hide Row</v>
      </c>
    </row>
    <row r="906" spans="2:33">
      <c r="C906" s="91" t="s">
        <v>100</v>
      </c>
      <c r="E906" s="196">
        <f t="shared" si="271"/>
        <v>0</v>
      </c>
      <c r="F906" s="196">
        <f t="shared" si="271"/>
        <v>0</v>
      </c>
      <c r="G906" s="196">
        <f t="shared" si="271"/>
        <v>0</v>
      </c>
      <c r="H906" s="196">
        <f t="shared" si="271"/>
        <v>0</v>
      </c>
      <c r="I906" s="196">
        <f t="shared" si="271"/>
        <v>0</v>
      </c>
      <c r="J906" s="196">
        <f t="shared" si="271"/>
        <v>0</v>
      </c>
      <c r="K906" s="196">
        <f t="shared" si="271"/>
        <v>0</v>
      </c>
      <c r="L906" s="196">
        <f t="shared" si="271"/>
        <v>0</v>
      </c>
      <c r="M906" s="196">
        <f t="shared" si="271"/>
        <v>0</v>
      </c>
      <c r="N906" s="196">
        <f t="shared" si="271"/>
        <v>0</v>
      </c>
      <c r="O906" s="196">
        <f t="shared" si="271"/>
        <v>0</v>
      </c>
      <c r="P906" s="196">
        <f t="shared" si="271"/>
        <v>0</v>
      </c>
      <c r="Q906" s="196">
        <f t="shared" si="271"/>
        <v>0</v>
      </c>
      <c r="AC906" s="54"/>
      <c r="AG906" s="62" t="str">
        <f t="shared" si="272"/>
        <v>Hide Row</v>
      </c>
    </row>
    <row r="907" spans="2:33">
      <c r="C907" s="91" t="s">
        <v>101</v>
      </c>
      <c r="E907" s="196">
        <f t="shared" si="271"/>
        <v>0</v>
      </c>
      <c r="F907" s="196">
        <f t="shared" si="271"/>
        <v>0</v>
      </c>
      <c r="G907" s="196">
        <f t="shared" si="271"/>
        <v>0</v>
      </c>
      <c r="H907" s="196">
        <f t="shared" si="271"/>
        <v>0</v>
      </c>
      <c r="I907" s="196">
        <f t="shared" si="271"/>
        <v>0</v>
      </c>
      <c r="J907" s="196">
        <f t="shared" si="271"/>
        <v>0</v>
      </c>
      <c r="K907" s="196">
        <f t="shared" si="271"/>
        <v>0</v>
      </c>
      <c r="L907" s="196">
        <f t="shared" si="271"/>
        <v>0</v>
      </c>
      <c r="M907" s="196">
        <f t="shared" si="271"/>
        <v>0</v>
      </c>
      <c r="N907" s="196">
        <f t="shared" si="271"/>
        <v>0</v>
      </c>
      <c r="O907" s="196">
        <f t="shared" si="271"/>
        <v>0</v>
      </c>
      <c r="P907" s="196">
        <f t="shared" si="271"/>
        <v>0</v>
      </c>
      <c r="Q907" s="196">
        <f t="shared" si="271"/>
        <v>0</v>
      </c>
      <c r="AC907" s="54"/>
      <c r="AG907" s="62" t="str">
        <f t="shared" si="272"/>
        <v/>
      </c>
    </row>
    <row r="908" spans="2:33" hidden="1">
      <c r="C908" s="91" t="s">
        <v>103</v>
      </c>
      <c r="E908" s="196">
        <f t="shared" si="271"/>
        <v>0</v>
      </c>
      <c r="F908" s="196">
        <f t="shared" si="271"/>
        <v>0</v>
      </c>
      <c r="G908" s="196">
        <f t="shared" si="271"/>
        <v>0</v>
      </c>
      <c r="H908" s="196">
        <f t="shared" si="271"/>
        <v>0</v>
      </c>
      <c r="I908" s="196">
        <f t="shared" si="271"/>
        <v>0</v>
      </c>
      <c r="J908" s="196">
        <f t="shared" si="271"/>
        <v>0</v>
      </c>
      <c r="K908" s="196">
        <f t="shared" si="271"/>
        <v>0</v>
      </c>
      <c r="L908" s="196">
        <f t="shared" si="271"/>
        <v>0</v>
      </c>
      <c r="M908" s="196">
        <f t="shared" si="271"/>
        <v>0</v>
      </c>
      <c r="N908" s="196">
        <f t="shared" si="271"/>
        <v>0</v>
      </c>
      <c r="O908" s="196">
        <f t="shared" si="271"/>
        <v>0</v>
      </c>
      <c r="P908" s="196">
        <f t="shared" si="271"/>
        <v>0</v>
      </c>
      <c r="Q908" s="196">
        <f t="shared" si="271"/>
        <v>0</v>
      </c>
      <c r="AC908" s="54"/>
      <c r="AG908" s="62" t="str">
        <f t="shared" si="272"/>
        <v>Hide Row</v>
      </c>
    </row>
    <row r="909" spans="2:33" hidden="1">
      <c r="C909" s="91" t="s">
        <v>104</v>
      </c>
      <c r="E909" s="196">
        <f t="shared" si="271"/>
        <v>0</v>
      </c>
      <c r="F909" s="196">
        <f t="shared" si="271"/>
        <v>0</v>
      </c>
      <c r="G909" s="196">
        <f t="shared" si="271"/>
        <v>0</v>
      </c>
      <c r="H909" s="196">
        <f t="shared" si="271"/>
        <v>0</v>
      </c>
      <c r="I909" s="196">
        <f t="shared" si="271"/>
        <v>0</v>
      </c>
      <c r="J909" s="196">
        <f t="shared" si="271"/>
        <v>0</v>
      </c>
      <c r="K909" s="196">
        <f t="shared" si="271"/>
        <v>0</v>
      </c>
      <c r="L909" s="196">
        <f t="shared" si="271"/>
        <v>0</v>
      </c>
      <c r="M909" s="196">
        <f t="shared" si="271"/>
        <v>0</v>
      </c>
      <c r="N909" s="196">
        <f t="shared" si="271"/>
        <v>0</v>
      </c>
      <c r="O909" s="196">
        <f t="shared" si="271"/>
        <v>0</v>
      </c>
      <c r="P909" s="196">
        <f t="shared" si="271"/>
        <v>0</v>
      </c>
      <c r="Q909" s="196">
        <f t="shared" si="271"/>
        <v>0</v>
      </c>
      <c r="AC909" s="54"/>
      <c r="AG909" s="62" t="str">
        <f t="shared" si="272"/>
        <v>Hide Row</v>
      </c>
    </row>
    <row r="910" spans="2:33" hidden="1">
      <c r="C910" s="91" t="s">
        <v>105</v>
      </c>
      <c r="E910" s="196">
        <f t="shared" si="271"/>
        <v>0</v>
      </c>
      <c r="F910" s="196">
        <f t="shared" si="271"/>
        <v>0</v>
      </c>
      <c r="G910" s="196">
        <f t="shared" si="271"/>
        <v>0</v>
      </c>
      <c r="H910" s="196">
        <f t="shared" si="271"/>
        <v>0</v>
      </c>
      <c r="I910" s="196">
        <f t="shared" si="271"/>
        <v>0</v>
      </c>
      <c r="J910" s="196">
        <f t="shared" si="271"/>
        <v>0</v>
      </c>
      <c r="K910" s="196">
        <f t="shared" si="271"/>
        <v>0</v>
      </c>
      <c r="L910" s="196">
        <f t="shared" si="271"/>
        <v>0</v>
      </c>
      <c r="M910" s="196">
        <f t="shared" si="271"/>
        <v>0</v>
      </c>
      <c r="N910" s="196">
        <f t="shared" si="271"/>
        <v>0</v>
      </c>
      <c r="O910" s="196">
        <f t="shared" si="271"/>
        <v>0</v>
      </c>
      <c r="P910" s="196">
        <f t="shared" si="271"/>
        <v>0</v>
      </c>
      <c r="Q910" s="196">
        <f t="shared" si="271"/>
        <v>0</v>
      </c>
      <c r="AC910" s="54"/>
      <c r="AG910" s="62" t="str">
        <f t="shared" si="272"/>
        <v>Hide Row</v>
      </c>
    </row>
    <row r="911" spans="2:33" hidden="1">
      <c r="C911" s="91" t="s">
        <v>108</v>
      </c>
      <c r="E911" s="196">
        <f t="shared" si="271"/>
        <v>0</v>
      </c>
      <c r="F911" s="196">
        <f t="shared" si="271"/>
        <v>0</v>
      </c>
      <c r="G911" s="196">
        <f t="shared" si="271"/>
        <v>0</v>
      </c>
      <c r="H911" s="196">
        <f t="shared" si="271"/>
        <v>0</v>
      </c>
      <c r="I911" s="196">
        <f t="shared" si="271"/>
        <v>0</v>
      </c>
      <c r="J911" s="196">
        <f t="shared" si="271"/>
        <v>0</v>
      </c>
      <c r="K911" s="196">
        <f t="shared" si="271"/>
        <v>0</v>
      </c>
      <c r="L911" s="196">
        <f t="shared" si="271"/>
        <v>0</v>
      </c>
      <c r="M911" s="196">
        <f t="shared" si="271"/>
        <v>0</v>
      </c>
      <c r="N911" s="196">
        <f t="shared" si="271"/>
        <v>0</v>
      </c>
      <c r="O911" s="196">
        <f t="shared" si="271"/>
        <v>0</v>
      </c>
      <c r="P911" s="196">
        <f t="shared" si="271"/>
        <v>0</v>
      </c>
      <c r="Q911" s="196">
        <f t="shared" si="271"/>
        <v>0</v>
      </c>
      <c r="AC911" s="54"/>
      <c r="AG911" s="62" t="str">
        <f t="shared" si="272"/>
        <v>Hide Row</v>
      </c>
    </row>
    <row r="912" spans="2:33" hidden="1">
      <c r="C912" s="91" t="s">
        <v>109</v>
      </c>
      <c r="E912" s="196">
        <f t="shared" si="271"/>
        <v>0</v>
      </c>
      <c r="F912" s="196">
        <f t="shared" si="271"/>
        <v>0</v>
      </c>
      <c r="G912" s="196">
        <f t="shared" si="271"/>
        <v>0</v>
      </c>
      <c r="H912" s="196">
        <f t="shared" si="271"/>
        <v>0</v>
      </c>
      <c r="I912" s="196">
        <f t="shared" si="271"/>
        <v>0</v>
      </c>
      <c r="J912" s="196">
        <f t="shared" si="271"/>
        <v>0</v>
      </c>
      <c r="K912" s="196">
        <f t="shared" si="271"/>
        <v>0</v>
      </c>
      <c r="L912" s="196">
        <f t="shared" si="271"/>
        <v>0</v>
      </c>
      <c r="M912" s="196">
        <f t="shared" si="271"/>
        <v>0</v>
      </c>
      <c r="N912" s="196">
        <f t="shared" si="271"/>
        <v>0</v>
      </c>
      <c r="O912" s="196">
        <f t="shared" si="271"/>
        <v>0</v>
      </c>
      <c r="P912" s="196">
        <f t="shared" si="271"/>
        <v>0</v>
      </c>
      <c r="Q912" s="196">
        <f t="shared" si="271"/>
        <v>0</v>
      </c>
      <c r="AC912" s="54"/>
      <c r="AG912" s="62" t="str">
        <f t="shared" si="272"/>
        <v>Hide Row</v>
      </c>
    </row>
    <row r="913" spans="2:33" hidden="1">
      <c r="C913" s="91" t="s">
        <v>10</v>
      </c>
      <c r="E913" s="196">
        <f t="shared" si="271"/>
        <v>0</v>
      </c>
      <c r="F913" s="196">
        <f t="shared" si="271"/>
        <v>0</v>
      </c>
      <c r="G913" s="196">
        <f t="shared" si="271"/>
        <v>0</v>
      </c>
      <c r="H913" s="196">
        <f t="shared" si="271"/>
        <v>0</v>
      </c>
      <c r="I913" s="196">
        <f t="shared" si="271"/>
        <v>0</v>
      </c>
      <c r="J913" s="196">
        <f t="shared" si="271"/>
        <v>0</v>
      </c>
      <c r="K913" s="196">
        <f t="shared" si="271"/>
        <v>0</v>
      </c>
      <c r="L913" s="196">
        <f t="shared" si="271"/>
        <v>0</v>
      </c>
      <c r="M913" s="196">
        <f t="shared" si="271"/>
        <v>0</v>
      </c>
      <c r="N913" s="196">
        <f t="shared" si="271"/>
        <v>0</v>
      </c>
      <c r="O913" s="196">
        <f t="shared" si="271"/>
        <v>0</v>
      </c>
      <c r="P913" s="196">
        <f t="shared" si="271"/>
        <v>0</v>
      </c>
      <c r="Q913" s="196">
        <f t="shared" si="271"/>
        <v>0</v>
      </c>
      <c r="AC913" s="54"/>
      <c r="AG913" s="62" t="str">
        <f t="shared" si="272"/>
        <v>Hide Row</v>
      </c>
    </row>
    <row r="914" spans="2:33" hidden="1">
      <c r="C914" s="91" t="s">
        <v>118</v>
      </c>
      <c r="E914" s="196">
        <f t="shared" si="271"/>
        <v>0</v>
      </c>
      <c r="F914" s="196">
        <f t="shared" si="271"/>
        <v>0</v>
      </c>
      <c r="G914" s="196">
        <f t="shared" si="271"/>
        <v>0</v>
      </c>
      <c r="H914" s="196">
        <f t="shared" si="271"/>
        <v>0</v>
      </c>
      <c r="I914" s="196">
        <f t="shared" si="271"/>
        <v>0</v>
      </c>
      <c r="J914" s="196">
        <f t="shared" si="271"/>
        <v>0</v>
      </c>
      <c r="K914" s="196">
        <f t="shared" si="271"/>
        <v>0</v>
      </c>
      <c r="L914" s="196">
        <f t="shared" si="271"/>
        <v>0</v>
      </c>
      <c r="M914" s="196">
        <f t="shared" si="271"/>
        <v>0</v>
      </c>
      <c r="N914" s="196">
        <f t="shared" si="271"/>
        <v>0</v>
      </c>
      <c r="O914" s="196">
        <f t="shared" si="271"/>
        <v>0</v>
      </c>
      <c r="P914" s="196">
        <f t="shared" si="271"/>
        <v>0</v>
      </c>
      <c r="Q914" s="196">
        <f t="shared" si="271"/>
        <v>0</v>
      </c>
      <c r="AC914" s="54"/>
      <c r="AG914" s="62" t="str">
        <f t="shared" si="272"/>
        <v>Hide Row</v>
      </c>
    </row>
    <row r="915" spans="2:33" hidden="1">
      <c r="C915" s="91" t="s">
        <v>122</v>
      </c>
      <c r="E915" s="196">
        <f t="shared" si="271"/>
        <v>0</v>
      </c>
      <c r="F915" s="196">
        <f t="shared" si="271"/>
        <v>0</v>
      </c>
      <c r="G915" s="196">
        <f t="shared" si="271"/>
        <v>0</v>
      </c>
      <c r="H915" s="196">
        <f t="shared" si="271"/>
        <v>0</v>
      </c>
      <c r="I915" s="196">
        <f t="shared" si="271"/>
        <v>0</v>
      </c>
      <c r="J915" s="196">
        <f t="shared" si="271"/>
        <v>0</v>
      </c>
      <c r="K915" s="196">
        <f t="shared" si="271"/>
        <v>0</v>
      </c>
      <c r="L915" s="196">
        <f t="shared" si="271"/>
        <v>0</v>
      </c>
      <c r="M915" s="196">
        <f t="shared" si="271"/>
        <v>0</v>
      </c>
      <c r="N915" s="196">
        <f t="shared" si="271"/>
        <v>0</v>
      </c>
      <c r="O915" s="196">
        <f t="shared" si="271"/>
        <v>0</v>
      </c>
      <c r="P915" s="196">
        <f t="shared" si="271"/>
        <v>0</v>
      </c>
      <c r="Q915" s="196">
        <f t="shared" si="271"/>
        <v>0</v>
      </c>
      <c r="AC915" s="54"/>
      <c r="AG915" s="62" t="str">
        <f t="shared" si="272"/>
        <v>Hide Row</v>
      </c>
    </row>
    <row r="916" spans="2:33" hidden="1">
      <c r="C916" s="91"/>
      <c r="E916" s="196"/>
      <c r="F916" s="196"/>
      <c r="G916" s="196"/>
      <c r="H916" s="196"/>
      <c r="I916" s="196"/>
      <c r="J916" s="196"/>
      <c r="K916" s="196"/>
      <c r="L916" s="196"/>
      <c r="M916" s="196"/>
      <c r="N916" s="196"/>
      <c r="O916" s="196"/>
      <c r="P916" s="196"/>
      <c r="Q916" s="196"/>
      <c r="AC916" s="54"/>
      <c r="AG916" s="62" t="str">
        <f t="shared" si="272"/>
        <v>Hide Row</v>
      </c>
    </row>
    <row r="917" spans="2:33" hidden="1">
      <c r="C917" s="91" t="s">
        <v>130</v>
      </c>
      <c r="E917" s="196">
        <f t="shared" ref="E917:Q918" si="273">IF(E376=0,0,E48/E376)</f>
        <v>0</v>
      </c>
      <c r="F917" s="196">
        <f t="shared" si="273"/>
        <v>0</v>
      </c>
      <c r="G917" s="196">
        <f t="shared" si="273"/>
        <v>0</v>
      </c>
      <c r="H917" s="196">
        <f t="shared" si="273"/>
        <v>0</v>
      </c>
      <c r="I917" s="196">
        <f t="shared" si="273"/>
        <v>0</v>
      </c>
      <c r="J917" s="196">
        <f t="shared" si="273"/>
        <v>0</v>
      </c>
      <c r="K917" s="196">
        <f t="shared" si="273"/>
        <v>0</v>
      </c>
      <c r="L917" s="196">
        <f t="shared" si="273"/>
        <v>0</v>
      </c>
      <c r="M917" s="196">
        <f t="shared" si="273"/>
        <v>0</v>
      </c>
      <c r="N917" s="196">
        <f t="shared" si="273"/>
        <v>0</v>
      </c>
      <c r="O917" s="196">
        <f t="shared" si="273"/>
        <v>0</v>
      </c>
      <c r="P917" s="196">
        <f t="shared" si="273"/>
        <v>0</v>
      </c>
      <c r="Q917" s="196">
        <f t="shared" si="273"/>
        <v>0</v>
      </c>
      <c r="AC917" s="54"/>
      <c r="AG917" s="62" t="str">
        <f t="shared" si="272"/>
        <v>Hide Row</v>
      </c>
    </row>
    <row r="918" spans="2:33" hidden="1">
      <c r="C918" s="91" t="s">
        <v>132</v>
      </c>
      <c r="E918" s="196">
        <f t="shared" si="273"/>
        <v>0</v>
      </c>
      <c r="F918" s="196">
        <f t="shared" si="273"/>
        <v>0</v>
      </c>
      <c r="G918" s="196">
        <f t="shared" si="273"/>
        <v>0</v>
      </c>
      <c r="H918" s="196">
        <f t="shared" si="273"/>
        <v>0</v>
      </c>
      <c r="I918" s="196">
        <f t="shared" si="273"/>
        <v>0</v>
      </c>
      <c r="J918" s="196">
        <f t="shared" si="273"/>
        <v>0</v>
      </c>
      <c r="K918" s="196">
        <f t="shared" si="273"/>
        <v>0</v>
      </c>
      <c r="L918" s="196">
        <f t="shared" si="273"/>
        <v>0</v>
      </c>
      <c r="M918" s="196">
        <f t="shared" si="273"/>
        <v>0</v>
      </c>
      <c r="N918" s="196">
        <f t="shared" si="273"/>
        <v>0</v>
      </c>
      <c r="O918" s="196">
        <f t="shared" si="273"/>
        <v>0</v>
      </c>
      <c r="P918" s="196">
        <f t="shared" si="273"/>
        <v>0</v>
      </c>
      <c r="Q918" s="196">
        <f t="shared" si="273"/>
        <v>0</v>
      </c>
      <c r="AC918" s="54"/>
      <c r="AG918" s="62" t="str">
        <f t="shared" si="272"/>
        <v>Hide Row</v>
      </c>
    </row>
    <row r="919" spans="2:33">
      <c r="C919" s="91"/>
      <c r="E919" s="196"/>
      <c r="F919" s="196"/>
      <c r="G919" s="196"/>
      <c r="H919" s="196"/>
      <c r="I919" s="196"/>
      <c r="J919" s="196"/>
      <c r="K919" s="196"/>
      <c r="L919" s="196"/>
      <c r="M919" s="196"/>
      <c r="N919" s="196"/>
      <c r="O919" s="196"/>
      <c r="P919" s="196"/>
      <c r="Q919" s="196"/>
      <c r="AC919" s="54"/>
    </row>
    <row r="920" spans="2:33">
      <c r="B920" s="51" t="str">
        <f>B379</f>
        <v>Total Short Term Firm Sales</v>
      </c>
      <c r="C920" s="91"/>
      <c r="E920" s="196">
        <f t="shared" ref="E920:Q920" si="274">IF(E379=0,0,E51/E379)</f>
        <v>0</v>
      </c>
      <c r="F920" s="196">
        <f t="shared" si="274"/>
        <v>0</v>
      </c>
      <c r="G920" s="196">
        <f t="shared" si="274"/>
        <v>0</v>
      </c>
      <c r="H920" s="196">
        <f t="shared" si="274"/>
        <v>0</v>
      </c>
      <c r="I920" s="196">
        <f t="shared" si="274"/>
        <v>0</v>
      </c>
      <c r="J920" s="196">
        <f t="shared" si="274"/>
        <v>0</v>
      </c>
      <c r="K920" s="196">
        <f t="shared" si="274"/>
        <v>0</v>
      </c>
      <c r="L920" s="196">
        <f t="shared" si="274"/>
        <v>0</v>
      </c>
      <c r="M920" s="196">
        <f t="shared" si="274"/>
        <v>0</v>
      </c>
      <c r="N920" s="196">
        <f t="shared" si="274"/>
        <v>0</v>
      </c>
      <c r="O920" s="196">
        <f t="shared" si="274"/>
        <v>0</v>
      </c>
      <c r="P920" s="196">
        <f t="shared" si="274"/>
        <v>0</v>
      </c>
      <c r="Q920" s="196">
        <f t="shared" si="274"/>
        <v>0</v>
      </c>
      <c r="AC920" s="54"/>
    </row>
    <row r="921" spans="2:33">
      <c r="E921" s="196"/>
      <c r="F921" s="196"/>
      <c r="G921" s="196"/>
      <c r="H921" s="196"/>
      <c r="I921" s="196"/>
      <c r="J921" s="196"/>
      <c r="K921" s="196"/>
      <c r="L921" s="196"/>
      <c r="M921" s="196"/>
      <c r="N921" s="196"/>
      <c r="O921" s="196"/>
      <c r="P921" s="196"/>
      <c r="Q921" s="196"/>
      <c r="AC921" s="54"/>
    </row>
    <row r="922" spans="2:33">
      <c r="B922" s="51" t="str">
        <f>B381</f>
        <v>System Balancing Sales</v>
      </c>
      <c r="E922" s="196"/>
      <c r="F922" s="196"/>
      <c r="G922" s="196"/>
      <c r="H922" s="196"/>
      <c r="I922" s="196"/>
      <c r="J922" s="196"/>
      <c r="K922" s="196"/>
      <c r="L922" s="196"/>
      <c r="M922" s="196"/>
      <c r="N922" s="196"/>
      <c r="O922" s="196"/>
      <c r="P922" s="196"/>
      <c r="Q922" s="196"/>
      <c r="AC922" s="54"/>
    </row>
    <row r="923" spans="2:33">
      <c r="C923" s="52" t="s">
        <v>90</v>
      </c>
      <c r="E923" s="196">
        <f t="shared" ref="E923:Q931" si="275">IF(E382=0,0,E54/E382)</f>
        <v>38.916630992705471</v>
      </c>
      <c r="F923" s="196">
        <f t="shared" si="275"/>
        <v>33.802611965014627</v>
      </c>
      <c r="G923" s="196">
        <f t="shared" si="275"/>
        <v>31.367341880096824</v>
      </c>
      <c r="H923" s="196">
        <f t="shared" si="275"/>
        <v>29.20867240282292</v>
      </c>
      <c r="I923" s="196">
        <f t="shared" si="275"/>
        <v>38.151323815062234</v>
      </c>
      <c r="J923" s="196">
        <f t="shared" si="275"/>
        <v>42.288583525854122</v>
      </c>
      <c r="K923" s="196">
        <f t="shared" si="275"/>
        <v>40.350510533985883</v>
      </c>
      <c r="L923" s="196">
        <f t="shared" si="275"/>
        <v>38.415671506352091</v>
      </c>
      <c r="M923" s="196">
        <f t="shared" si="275"/>
        <v>40.106298265155516</v>
      </c>
      <c r="N923" s="196">
        <f t="shared" si="275"/>
        <v>44.177120578051415</v>
      </c>
      <c r="O923" s="196">
        <f t="shared" si="275"/>
        <v>41.364007246852225</v>
      </c>
      <c r="P923" s="196">
        <f t="shared" si="275"/>
        <v>40.191358295501672</v>
      </c>
      <c r="Q923" s="196">
        <f t="shared" si="275"/>
        <v>36.972289680042749</v>
      </c>
      <c r="AC923" s="54"/>
      <c r="AG923" s="62" t="str">
        <f t="shared" ref="AG923:AG930" si="276">AG382</f>
        <v/>
      </c>
    </row>
    <row r="924" spans="2:33">
      <c r="C924" s="52" t="s">
        <v>93</v>
      </c>
      <c r="E924" s="196">
        <f t="shared" si="275"/>
        <v>0</v>
      </c>
      <c r="F924" s="196">
        <f t="shared" si="275"/>
        <v>0</v>
      </c>
      <c r="G924" s="196">
        <f t="shared" si="275"/>
        <v>0</v>
      </c>
      <c r="H924" s="196">
        <f t="shared" si="275"/>
        <v>0</v>
      </c>
      <c r="I924" s="196">
        <f t="shared" si="275"/>
        <v>0</v>
      </c>
      <c r="J924" s="196">
        <f t="shared" si="275"/>
        <v>0</v>
      </c>
      <c r="K924" s="196">
        <f t="shared" si="275"/>
        <v>0</v>
      </c>
      <c r="L924" s="196">
        <f t="shared" si="275"/>
        <v>0</v>
      </c>
      <c r="M924" s="196">
        <f t="shared" si="275"/>
        <v>0</v>
      </c>
      <c r="N924" s="196">
        <f t="shared" si="275"/>
        <v>0</v>
      </c>
      <c r="O924" s="196">
        <f t="shared" si="275"/>
        <v>0</v>
      </c>
      <c r="P924" s="196">
        <f t="shared" si="275"/>
        <v>0</v>
      </c>
      <c r="Q924" s="196">
        <f t="shared" si="275"/>
        <v>0</v>
      </c>
      <c r="AC924" s="54"/>
      <c r="AG924" s="62" t="str">
        <f t="shared" si="276"/>
        <v>Hide Row</v>
      </c>
    </row>
    <row r="925" spans="2:33">
      <c r="C925" s="52" t="s">
        <v>100</v>
      </c>
      <c r="E925" s="196">
        <f t="shared" si="275"/>
        <v>0</v>
      </c>
      <c r="F925" s="196">
        <f t="shared" si="275"/>
        <v>0</v>
      </c>
      <c r="G925" s="196">
        <f t="shared" si="275"/>
        <v>0</v>
      </c>
      <c r="H925" s="196">
        <f t="shared" si="275"/>
        <v>0</v>
      </c>
      <c r="I925" s="196">
        <f t="shared" si="275"/>
        <v>0</v>
      </c>
      <c r="J925" s="196">
        <f t="shared" si="275"/>
        <v>0</v>
      </c>
      <c r="K925" s="196">
        <f t="shared" si="275"/>
        <v>0</v>
      </c>
      <c r="L925" s="196">
        <f t="shared" si="275"/>
        <v>0</v>
      </c>
      <c r="M925" s="196">
        <f t="shared" si="275"/>
        <v>0</v>
      </c>
      <c r="N925" s="196">
        <f t="shared" si="275"/>
        <v>0</v>
      </c>
      <c r="O925" s="196">
        <f t="shared" si="275"/>
        <v>0</v>
      </c>
      <c r="P925" s="196">
        <f t="shared" si="275"/>
        <v>0</v>
      </c>
      <c r="Q925" s="196">
        <f t="shared" si="275"/>
        <v>0</v>
      </c>
      <c r="AC925" s="54"/>
      <c r="AG925" s="62" t="str">
        <f t="shared" si="276"/>
        <v>Hide Row</v>
      </c>
    </row>
    <row r="926" spans="2:33">
      <c r="C926" s="52" t="s">
        <v>101</v>
      </c>
      <c r="E926" s="196">
        <f t="shared" si="275"/>
        <v>31.283092416576</v>
      </c>
      <c r="F926" s="196">
        <f t="shared" si="275"/>
        <v>24.193006912611391</v>
      </c>
      <c r="G926" s="196">
        <f t="shared" si="275"/>
        <v>25.85365009413178</v>
      </c>
      <c r="H926" s="196">
        <f t="shared" si="275"/>
        <v>21.061463773808832</v>
      </c>
      <c r="I926" s="196">
        <f t="shared" si="275"/>
        <v>25.926508430313376</v>
      </c>
      <c r="J926" s="196">
        <f t="shared" si="275"/>
        <v>29.558520707154717</v>
      </c>
      <c r="K926" s="196">
        <f t="shared" si="275"/>
        <v>32.418468767440075</v>
      </c>
      <c r="L926" s="196">
        <f t="shared" si="275"/>
        <v>32.249011987528512</v>
      </c>
      <c r="M926" s="196">
        <f t="shared" si="275"/>
        <v>32.629516153625943</v>
      </c>
      <c r="N926" s="196">
        <f t="shared" si="275"/>
        <v>36.018398925237534</v>
      </c>
      <c r="O926" s="196">
        <f t="shared" si="275"/>
        <v>36.582318506041041</v>
      </c>
      <c r="P926" s="196">
        <f t="shared" si="275"/>
        <v>34.187464066285642</v>
      </c>
      <c r="Q926" s="196">
        <f t="shared" si="275"/>
        <v>30.227192235780098</v>
      </c>
      <c r="AC926" s="54"/>
      <c r="AG926" s="62" t="str">
        <f t="shared" si="276"/>
        <v/>
      </c>
    </row>
    <row r="927" spans="2:33">
      <c r="C927" s="52" t="s">
        <v>103</v>
      </c>
      <c r="E927" s="196">
        <f t="shared" si="275"/>
        <v>0</v>
      </c>
      <c r="F927" s="196">
        <f t="shared" si="275"/>
        <v>0</v>
      </c>
      <c r="G927" s="196">
        <f t="shared" si="275"/>
        <v>0</v>
      </c>
      <c r="H927" s="196">
        <f t="shared" si="275"/>
        <v>0</v>
      </c>
      <c r="I927" s="196">
        <f t="shared" si="275"/>
        <v>0</v>
      </c>
      <c r="J927" s="196">
        <f t="shared" si="275"/>
        <v>0</v>
      </c>
      <c r="K927" s="196">
        <f t="shared" si="275"/>
        <v>0</v>
      </c>
      <c r="L927" s="196">
        <f t="shared" si="275"/>
        <v>0</v>
      </c>
      <c r="M927" s="196">
        <f t="shared" si="275"/>
        <v>0</v>
      </c>
      <c r="N927" s="196">
        <f t="shared" si="275"/>
        <v>0</v>
      </c>
      <c r="O927" s="196">
        <f t="shared" si="275"/>
        <v>0</v>
      </c>
      <c r="P927" s="196">
        <f t="shared" si="275"/>
        <v>0</v>
      </c>
      <c r="Q927" s="196">
        <f t="shared" si="275"/>
        <v>0</v>
      </c>
      <c r="AC927" s="54"/>
      <c r="AG927" s="62" t="str">
        <f t="shared" si="276"/>
        <v>Hide Row</v>
      </c>
    </row>
    <row r="928" spans="2:33">
      <c r="C928" s="52" t="s">
        <v>104</v>
      </c>
      <c r="E928" s="196">
        <f t="shared" si="275"/>
        <v>0</v>
      </c>
      <c r="F928" s="196">
        <f t="shared" si="275"/>
        <v>0</v>
      </c>
      <c r="G928" s="196">
        <f t="shared" si="275"/>
        <v>0</v>
      </c>
      <c r="H928" s="196">
        <f t="shared" si="275"/>
        <v>0</v>
      </c>
      <c r="I928" s="196">
        <f t="shared" si="275"/>
        <v>0</v>
      </c>
      <c r="J928" s="196">
        <f t="shared" si="275"/>
        <v>0</v>
      </c>
      <c r="K928" s="196">
        <f t="shared" si="275"/>
        <v>0</v>
      </c>
      <c r="L928" s="196">
        <f t="shared" si="275"/>
        <v>0</v>
      </c>
      <c r="M928" s="196">
        <f t="shared" si="275"/>
        <v>0</v>
      </c>
      <c r="N928" s="196">
        <f t="shared" si="275"/>
        <v>0</v>
      </c>
      <c r="O928" s="196">
        <f t="shared" si="275"/>
        <v>0</v>
      </c>
      <c r="P928" s="196">
        <f t="shared" si="275"/>
        <v>0</v>
      </c>
      <c r="Q928" s="196">
        <f t="shared" si="275"/>
        <v>0</v>
      </c>
      <c r="AC928" s="54"/>
      <c r="AG928" s="62" t="str">
        <f t="shared" si="276"/>
        <v/>
      </c>
    </row>
    <row r="929" spans="1:33">
      <c r="C929" s="52" t="s">
        <v>105</v>
      </c>
      <c r="E929" s="196">
        <f t="shared" si="275"/>
        <v>0</v>
      </c>
      <c r="F929" s="196">
        <f t="shared" si="275"/>
        <v>0</v>
      </c>
      <c r="G929" s="196">
        <f t="shared" si="275"/>
        <v>0</v>
      </c>
      <c r="H929" s="196">
        <f t="shared" si="275"/>
        <v>0</v>
      </c>
      <c r="I929" s="196">
        <f t="shared" si="275"/>
        <v>0</v>
      </c>
      <c r="J929" s="196">
        <f t="shared" si="275"/>
        <v>0</v>
      </c>
      <c r="K929" s="196">
        <f t="shared" si="275"/>
        <v>0</v>
      </c>
      <c r="L929" s="196">
        <f t="shared" si="275"/>
        <v>0</v>
      </c>
      <c r="M929" s="196">
        <f t="shared" si="275"/>
        <v>0</v>
      </c>
      <c r="N929" s="196">
        <f t="shared" si="275"/>
        <v>0</v>
      </c>
      <c r="O929" s="196">
        <f t="shared" si="275"/>
        <v>0</v>
      </c>
      <c r="P929" s="196">
        <f t="shared" si="275"/>
        <v>0</v>
      </c>
      <c r="Q929" s="196">
        <f t="shared" si="275"/>
        <v>0</v>
      </c>
      <c r="AC929" s="54"/>
      <c r="AG929" s="62" t="str">
        <f t="shared" si="276"/>
        <v>Hide Row</v>
      </c>
    </row>
    <row r="930" spans="1:33">
      <c r="C930" s="52" t="s">
        <v>108</v>
      </c>
      <c r="E930" s="196">
        <f t="shared" si="275"/>
        <v>0</v>
      </c>
      <c r="F930" s="196">
        <f t="shared" si="275"/>
        <v>0</v>
      </c>
      <c r="G930" s="196">
        <f t="shared" si="275"/>
        <v>0</v>
      </c>
      <c r="H930" s="196">
        <f t="shared" si="275"/>
        <v>0</v>
      </c>
      <c r="I930" s="196">
        <f t="shared" si="275"/>
        <v>0</v>
      </c>
      <c r="J930" s="196">
        <f t="shared" si="275"/>
        <v>0</v>
      </c>
      <c r="K930" s="196">
        <f t="shared" si="275"/>
        <v>0</v>
      </c>
      <c r="L930" s="196">
        <f t="shared" si="275"/>
        <v>0</v>
      </c>
      <c r="M930" s="196">
        <f t="shared" si="275"/>
        <v>0</v>
      </c>
      <c r="N930" s="196">
        <f t="shared" si="275"/>
        <v>0</v>
      </c>
      <c r="O930" s="196">
        <f t="shared" si="275"/>
        <v>0</v>
      </c>
      <c r="P930" s="196">
        <f t="shared" si="275"/>
        <v>0</v>
      </c>
      <c r="Q930" s="196">
        <f t="shared" si="275"/>
        <v>0</v>
      </c>
      <c r="AC930" s="54"/>
      <c r="AG930" s="62" t="str">
        <f t="shared" si="276"/>
        <v>Hide Row</v>
      </c>
    </row>
    <row r="931" spans="1:33">
      <c r="C931" s="52" t="s">
        <v>151</v>
      </c>
      <c r="E931" s="196">
        <f t="shared" si="275"/>
        <v>0</v>
      </c>
      <c r="F931" s="196">
        <f t="shared" si="275"/>
        <v>0</v>
      </c>
      <c r="G931" s="196">
        <f t="shared" si="275"/>
        <v>0</v>
      </c>
      <c r="H931" s="196">
        <f t="shared" si="275"/>
        <v>0</v>
      </c>
      <c r="I931" s="196">
        <f t="shared" si="275"/>
        <v>0</v>
      </c>
      <c r="J931" s="196">
        <f t="shared" si="275"/>
        <v>0</v>
      </c>
      <c r="K931" s="196">
        <f t="shared" si="275"/>
        <v>0</v>
      </c>
      <c r="L931" s="196">
        <f t="shared" si="275"/>
        <v>0</v>
      </c>
      <c r="M931" s="196">
        <f t="shared" si="275"/>
        <v>0</v>
      </c>
      <c r="N931" s="196">
        <f t="shared" si="275"/>
        <v>0</v>
      </c>
      <c r="O931" s="196">
        <f t="shared" si="275"/>
        <v>0</v>
      </c>
      <c r="P931" s="196">
        <f t="shared" si="275"/>
        <v>0</v>
      </c>
      <c r="Q931" s="196">
        <f t="shared" si="275"/>
        <v>0</v>
      </c>
      <c r="AC931" s="54"/>
    </row>
    <row r="932" spans="1:33">
      <c r="E932" s="196"/>
      <c r="F932" s="196"/>
      <c r="G932" s="196"/>
      <c r="H932" s="196"/>
      <c r="I932" s="196"/>
      <c r="J932" s="196"/>
      <c r="K932" s="196"/>
      <c r="L932" s="196"/>
      <c r="M932" s="196"/>
      <c r="N932" s="196"/>
      <c r="O932" s="196"/>
      <c r="P932" s="196"/>
      <c r="Q932" s="196"/>
      <c r="AC932" s="54"/>
    </row>
    <row r="933" spans="1:33">
      <c r="B933" s="51" t="str">
        <f>B392</f>
        <v>Total System Balancing Sales</v>
      </c>
      <c r="E933" s="196">
        <f t="shared" ref="E933:Q933" si="277">IF(E392=0,0,E64/E392)</f>
        <v>37.086369490142424</v>
      </c>
      <c r="F933" s="196">
        <f t="shared" si="277"/>
        <v>32.986341251760038</v>
      </c>
      <c r="G933" s="196">
        <f t="shared" si="277"/>
        <v>31.244573204168756</v>
      </c>
      <c r="H933" s="196">
        <f t="shared" si="277"/>
        <v>29.128124469896381</v>
      </c>
      <c r="I933" s="196">
        <f t="shared" si="277"/>
        <v>34.790363603841428</v>
      </c>
      <c r="J933" s="196">
        <f t="shared" si="277"/>
        <v>38.064925878162711</v>
      </c>
      <c r="K933" s="196">
        <f t="shared" si="277"/>
        <v>37.704550757194106</v>
      </c>
      <c r="L933" s="196">
        <f t="shared" si="277"/>
        <v>36.168617844186407</v>
      </c>
      <c r="M933" s="196">
        <f t="shared" si="277"/>
        <v>38.34845282031614</v>
      </c>
      <c r="N933" s="196">
        <f t="shared" si="277"/>
        <v>42.746355543204594</v>
      </c>
      <c r="O933" s="196">
        <f t="shared" si="277"/>
        <v>40.446849518610655</v>
      </c>
      <c r="P933" s="196">
        <f t="shared" si="277"/>
        <v>38.930896934567976</v>
      </c>
      <c r="Q933" s="196">
        <f t="shared" si="277"/>
        <v>35.397858832041521</v>
      </c>
      <c r="AC933" s="54"/>
    </row>
    <row r="934" spans="1:33">
      <c r="E934" s="196"/>
      <c r="F934" s="196"/>
      <c r="G934" s="196"/>
      <c r="H934" s="196"/>
      <c r="I934" s="196"/>
      <c r="J934" s="196"/>
      <c r="K934" s="196"/>
      <c r="L934" s="196"/>
      <c r="M934" s="196"/>
      <c r="N934" s="196"/>
      <c r="O934" s="196"/>
      <c r="P934" s="196"/>
      <c r="Q934" s="196"/>
      <c r="AC934" s="54"/>
    </row>
    <row r="935" spans="1:33">
      <c r="A935" s="51" t="str">
        <f>A394</f>
        <v>Total Special Sales For Resale</v>
      </c>
      <c r="E935" s="196">
        <f t="shared" ref="E935:Q935" si="278">IF(E394=0,0,E66/E394)</f>
        <v>33.480899553518505</v>
      </c>
      <c r="F935" s="196">
        <f t="shared" si="278"/>
        <v>25.840421563208583</v>
      </c>
      <c r="G935" s="196">
        <f t="shared" si="278"/>
        <v>23.57072176896115</v>
      </c>
      <c r="H935" s="196">
        <f t="shared" si="278"/>
        <v>23.645548939124133</v>
      </c>
      <c r="I935" s="196">
        <f t="shared" si="278"/>
        <v>37.674254977110671</v>
      </c>
      <c r="J935" s="196">
        <f t="shared" si="278"/>
        <v>41.045060108911848</v>
      </c>
      <c r="K935" s="196">
        <f t="shared" si="278"/>
        <v>39.194841259684537</v>
      </c>
      <c r="L935" s="196">
        <f t="shared" si="278"/>
        <v>36.437996887966079</v>
      </c>
      <c r="M935" s="196">
        <f t="shared" si="278"/>
        <v>38.707724022940134</v>
      </c>
      <c r="N935" s="196">
        <f t="shared" si="278"/>
        <v>43.144917989121588</v>
      </c>
      <c r="O935" s="196">
        <f t="shared" si="278"/>
        <v>40.783613027896351</v>
      </c>
      <c r="P935" s="196">
        <f t="shared" si="278"/>
        <v>39.540467840957476</v>
      </c>
      <c r="Q935" s="196">
        <f t="shared" si="278"/>
        <v>35.650989787086452</v>
      </c>
      <c r="AC935" s="54"/>
    </row>
    <row r="936" spans="1:33">
      <c r="E936" s="196"/>
      <c r="F936" s="196"/>
      <c r="G936" s="196"/>
      <c r="H936" s="196"/>
      <c r="I936" s="196"/>
      <c r="J936" s="196"/>
      <c r="K936" s="196"/>
      <c r="L936" s="196"/>
      <c r="M936" s="196"/>
      <c r="N936" s="196"/>
      <c r="O936" s="196"/>
      <c r="P936" s="196"/>
      <c r="Q936" s="196"/>
      <c r="AC936" s="54"/>
    </row>
    <row r="937" spans="1:33" ht="15.75">
      <c r="A937" s="56" t="str">
        <f>A69</f>
        <v>Purchased Power &amp; Net Interchange</v>
      </c>
      <c r="E937" s="197"/>
      <c r="F937" s="197"/>
      <c r="G937" s="197"/>
      <c r="H937" s="197"/>
      <c r="I937" s="197"/>
      <c r="J937" s="197"/>
      <c r="K937" s="197"/>
      <c r="L937" s="197"/>
      <c r="M937" s="197"/>
      <c r="N937" s="197"/>
      <c r="O937" s="197"/>
      <c r="P937" s="197"/>
      <c r="Q937" s="197"/>
      <c r="AC937" s="54"/>
    </row>
    <row r="938" spans="1:33">
      <c r="B938" s="51" t="str">
        <f>B400</f>
        <v>Long Term Firm Purchases</v>
      </c>
      <c r="E938" s="197"/>
      <c r="F938" s="197"/>
      <c r="G938" s="197"/>
      <c r="H938" s="197"/>
      <c r="I938" s="197"/>
      <c r="J938" s="197"/>
      <c r="K938" s="197"/>
      <c r="L938" s="197"/>
      <c r="M938" s="197"/>
      <c r="N938" s="197"/>
      <c r="O938" s="197"/>
      <c r="P938" s="197"/>
      <c r="Q938" s="197"/>
      <c r="AC938" s="54"/>
    </row>
    <row r="939" spans="1:33">
      <c r="C939" s="58" t="s">
        <v>168</v>
      </c>
      <c r="E939" s="196">
        <f t="shared" ref="E939:Q954" si="279">IF(OR(E401=0,NOT($S401)),0,E71/E401)</f>
        <v>0</v>
      </c>
      <c r="F939" s="196">
        <f t="shared" si="279"/>
        <v>0</v>
      </c>
      <c r="G939" s="196">
        <f t="shared" si="279"/>
        <v>0</v>
      </c>
      <c r="H939" s="196">
        <f t="shared" si="279"/>
        <v>0</v>
      </c>
      <c r="I939" s="196">
        <f t="shared" si="279"/>
        <v>0</v>
      </c>
      <c r="J939" s="196">
        <f t="shared" si="279"/>
        <v>0</v>
      </c>
      <c r="K939" s="196">
        <f t="shared" si="279"/>
        <v>0</v>
      </c>
      <c r="L939" s="196">
        <f t="shared" si="279"/>
        <v>0</v>
      </c>
      <c r="M939" s="196">
        <f t="shared" si="279"/>
        <v>0</v>
      </c>
      <c r="N939" s="196">
        <f t="shared" si="279"/>
        <v>0</v>
      </c>
      <c r="O939" s="196">
        <f t="shared" si="279"/>
        <v>0</v>
      </c>
      <c r="P939" s="196">
        <f t="shared" si="279"/>
        <v>0</v>
      </c>
      <c r="Q939" s="196">
        <f t="shared" si="279"/>
        <v>0</v>
      </c>
      <c r="AC939" s="54"/>
      <c r="AG939" s="62" t="str">
        <f t="shared" ref="AG939:AG952" si="280">AG401</f>
        <v>Hide Row</v>
      </c>
    </row>
    <row r="940" spans="1:33" hidden="1">
      <c r="C940" s="58" t="s">
        <v>171</v>
      </c>
      <c r="E940" s="196">
        <f t="shared" si="279"/>
        <v>0</v>
      </c>
      <c r="F940" s="196">
        <f t="shared" si="279"/>
        <v>0</v>
      </c>
      <c r="G940" s="196">
        <f t="shared" si="279"/>
        <v>0</v>
      </c>
      <c r="H940" s="196">
        <f t="shared" si="279"/>
        <v>0</v>
      </c>
      <c r="I940" s="196">
        <f t="shared" si="279"/>
        <v>0</v>
      </c>
      <c r="J940" s="196">
        <f t="shared" si="279"/>
        <v>0</v>
      </c>
      <c r="K940" s="196">
        <f t="shared" si="279"/>
        <v>0</v>
      </c>
      <c r="L940" s="196">
        <f t="shared" si="279"/>
        <v>0</v>
      </c>
      <c r="M940" s="196">
        <f t="shared" si="279"/>
        <v>0</v>
      </c>
      <c r="N940" s="196">
        <f t="shared" si="279"/>
        <v>0</v>
      </c>
      <c r="O940" s="196">
        <f t="shared" si="279"/>
        <v>0</v>
      </c>
      <c r="P940" s="196">
        <f t="shared" si="279"/>
        <v>0</v>
      </c>
      <c r="Q940" s="196">
        <f t="shared" si="279"/>
        <v>0</v>
      </c>
      <c r="AC940" s="54"/>
      <c r="AG940" s="62" t="str">
        <f t="shared" si="280"/>
        <v>Hide Row</v>
      </c>
    </row>
    <row r="941" spans="1:33" hidden="1">
      <c r="C941" s="58" t="s">
        <v>172</v>
      </c>
      <c r="E941" s="196">
        <f t="shared" si="279"/>
        <v>0</v>
      </c>
      <c r="F941" s="196">
        <f t="shared" si="279"/>
        <v>0</v>
      </c>
      <c r="G941" s="196">
        <f t="shared" si="279"/>
        <v>0</v>
      </c>
      <c r="H941" s="196">
        <f t="shared" si="279"/>
        <v>0</v>
      </c>
      <c r="I941" s="196">
        <f t="shared" si="279"/>
        <v>0</v>
      </c>
      <c r="J941" s="196">
        <f t="shared" si="279"/>
        <v>0</v>
      </c>
      <c r="K941" s="196">
        <f t="shared" si="279"/>
        <v>0</v>
      </c>
      <c r="L941" s="196">
        <f t="shared" si="279"/>
        <v>0</v>
      </c>
      <c r="M941" s="196">
        <f t="shared" si="279"/>
        <v>0</v>
      </c>
      <c r="N941" s="196">
        <f t="shared" si="279"/>
        <v>0</v>
      </c>
      <c r="O941" s="196">
        <f t="shared" si="279"/>
        <v>0</v>
      </c>
      <c r="P941" s="196">
        <f t="shared" si="279"/>
        <v>0</v>
      </c>
      <c r="Q941" s="196">
        <f t="shared" si="279"/>
        <v>0</v>
      </c>
      <c r="AC941" s="54"/>
      <c r="AG941" s="62" t="str">
        <f t="shared" si="280"/>
        <v>Hide Row</v>
      </c>
    </row>
    <row r="942" spans="1:33" hidden="1">
      <c r="C942" s="58" t="s">
        <v>174</v>
      </c>
      <c r="E942" s="196">
        <f t="shared" si="279"/>
        <v>0</v>
      </c>
      <c r="F942" s="196">
        <f t="shared" si="279"/>
        <v>0</v>
      </c>
      <c r="G942" s="196">
        <f t="shared" si="279"/>
        <v>0</v>
      </c>
      <c r="H942" s="196">
        <f t="shared" si="279"/>
        <v>0</v>
      </c>
      <c r="I942" s="196">
        <f t="shared" si="279"/>
        <v>0</v>
      </c>
      <c r="J942" s="196">
        <f t="shared" si="279"/>
        <v>0</v>
      </c>
      <c r="K942" s="196">
        <f t="shared" si="279"/>
        <v>0</v>
      </c>
      <c r="L942" s="196">
        <f t="shared" si="279"/>
        <v>0</v>
      </c>
      <c r="M942" s="196">
        <f t="shared" si="279"/>
        <v>0</v>
      </c>
      <c r="N942" s="196">
        <f t="shared" si="279"/>
        <v>0</v>
      </c>
      <c r="O942" s="196">
        <f t="shared" si="279"/>
        <v>0</v>
      </c>
      <c r="P942" s="196">
        <f t="shared" si="279"/>
        <v>0</v>
      </c>
      <c r="Q942" s="196">
        <f t="shared" si="279"/>
        <v>0</v>
      </c>
      <c r="AC942" s="54"/>
      <c r="AG942" s="62" t="str">
        <f t="shared" si="280"/>
        <v>Hide Row</v>
      </c>
    </row>
    <row r="943" spans="1:33" hidden="1">
      <c r="C943" s="58" t="s">
        <v>177</v>
      </c>
      <c r="E943" s="196">
        <f t="shared" si="279"/>
        <v>0</v>
      </c>
      <c r="F943" s="196">
        <f t="shared" si="279"/>
        <v>0</v>
      </c>
      <c r="G943" s="196">
        <f t="shared" si="279"/>
        <v>0</v>
      </c>
      <c r="H943" s="196">
        <f t="shared" si="279"/>
        <v>0</v>
      </c>
      <c r="I943" s="196">
        <f t="shared" si="279"/>
        <v>0</v>
      </c>
      <c r="J943" s="196">
        <f t="shared" si="279"/>
        <v>0</v>
      </c>
      <c r="K943" s="196">
        <f t="shared" si="279"/>
        <v>0</v>
      </c>
      <c r="L943" s="196">
        <f t="shared" si="279"/>
        <v>0</v>
      </c>
      <c r="M943" s="196">
        <f t="shared" si="279"/>
        <v>0</v>
      </c>
      <c r="N943" s="196">
        <f t="shared" si="279"/>
        <v>0</v>
      </c>
      <c r="O943" s="196">
        <f t="shared" si="279"/>
        <v>0</v>
      </c>
      <c r="P943" s="196">
        <f t="shared" si="279"/>
        <v>0</v>
      </c>
      <c r="Q943" s="196">
        <f t="shared" si="279"/>
        <v>0</v>
      </c>
      <c r="AC943" s="54"/>
      <c r="AG943" s="62" t="str">
        <f t="shared" si="280"/>
        <v>Hide Row</v>
      </c>
    </row>
    <row r="944" spans="1:33">
      <c r="C944" s="58" t="s">
        <v>178</v>
      </c>
      <c r="E944" s="196">
        <f t="shared" si="279"/>
        <v>46.759774920591425</v>
      </c>
      <c r="F944" s="196">
        <f t="shared" si="279"/>
        <v>46.499910259731031</v>
      </c>
      <c r="G944" s="196">
        <f t="shared" si="279"/>
        <v>46.500061507706228</v>
      </c>
      <c r="H944" s="196">
        <f t="shared" si="279"/>
        <v>46.499909302988485</v>
      </c>
      <c r="I944" s="196">
        <f t="shared" si="279"/>
        <v>46.500041392751427</v>
      </c>
      <c r="J944" s="196">
        <f t="shared" si="279"/>
        <v>46.500028356012912</v>
      </c>
      <c r="K944" s="196">
        <f t="shared" si="279"/>
        <v>46.499985706529841</v>
      </c>
      <c r="L944" s="196">
        <f t="shared" si="279"/>
        <v>46.500113705390262</v>
      </c>
      <c r="M944" s="196">
        <f t="shared" si="279"/>
        <v>46.500106117585645</v>
      </c>
      <c r="N944" s="196">
        <f t="shared" si="279"/>
        <v>46.500028887756372</v>
      </c>
      <c r="O944" s="196">
        <f t="shared" si="279"/>
        <v>47.459988582396903</v>
      </c>
      <c r="P944" s="196">
        <f t="shared" si="279"/>
        <v>47.460006256012761</v>
      </c>
      <c r="Q944" s="196">
        <f t="shared" si="279"/>
        <v>47.460000177141147</v>
      </c>
      <c r="AC944" s="54"/>
      <c r="AG944" s="62" t="str">
        <f t="shared" si="280"/>
        <v/>
      </c>
    </row>
    <row r="945" spans="3:33" hidden="1">
      <c r="C945" s="58">
        <v>0</v>
      </c>
      <c r="E945" s="196">
        <f t="shared" si="279"/>
        <v>0</v>
      </c>
      <c r="F945" s="196">
        <f t="shared" si="279"/>
        <v>0</v>
      </c>
      <c r="G945" s="196">
        <f t="shared" si="279"/>
        <v>0</v>
      </c>
      <c r="H945" s="196">
        <f t="shared" si="279"/>
        <v>0</v>
      </c>
      <c r="I945" s="196">
        <f t="shared" si="279"/>
        <v>0</v>
      </c>
      <c r="J945" s="196">
        <f t="shared" si="279"/>
        <v>0</v>
      </c>
      <c r="K945" s="196">
        <f t="shared" si="279"/>
        <v>0</v>
      </c>
      <c r="L945" s="196">
        <f t="shared" si="279"/>
        <v>0</v>
      </c>
      <c r="M945" s="196">
        <f t="shared" si="279"/>
        <v>0</v>
      </c>
      <c r="N945" s="196">
        <f t="shared" si="279"/>
        <v>0</v>
      </c>
      <c r="O945" s="196">
        <f t="shared" si="279"/>
        <v>0</v>
      </c>
      <c r="P945" s="196">
        <f t="shared" si="279"/>
        <v>0</v>
      </c>
      <c r="Q945" s="196">
        <f t="shared" si="279"/>
        <v>0</v>
      </c>
      <c r="AC945" s="54"/>
      <c r="AG945" s="62" t="str">
        <f t="shared" si="280"/>
        <v>Hide Row</v>
      </c>
    </row>
    <row r="946" spans="3:33" hidden="1">
      <c r="C946" s="58">
        <v>0</v>
      </c>
      <c r="E946" s="196">
        <f t="shared" si="279"/>
        <v>0</v>
      </c>
      <c r="F946" s="196">
        <f t="shared" si="279"/>
        <v>0</v>
      </c>
      <c r="G946" s="196">
        <f t="shared" si="279"/>
        <v>0</v>
      </c>
      <c r="H946" s="196">
        <f t="shared" si="279"/>
        <v>0</v>
      </c>
      <c r="I946" s="196">
        <f t="shared" si="279"/>
        <v>0</v>
      </c>
      <c r="J946" s="196">
        <f t="shared" si="279"/>
        <v>0</v>
      </c>
      <c r="K946" s="196">
        <f t="shared" si="279"/>
        <v>0</v>
      </c>
      <c r="L946" s="196">
        <f t="shared" si="279"/>
        <v>0</v>
      </c>
      <c r="M946" s="196">
        <f t="shared" si="279"/>
        <v>0</v>
      </c>
      <c r="N946" s="196">
        <f t="shared" si="279"/>
        <v>0</v>
      </c>
      <c r="O946" s="196">
        <f t="shared" si="279"/>
        <v>0</v>
      </c>
      <c r="P946" s="196">
        <f t="shared" si="279"/>
        <v>0</v>
      </c>
      <c r="Q946" s="196">
        <f t="shared" si="279"/>
        <v>0</v>
      </c>
      <c r="AC946" s="54"/>
      <c r="AG946" s="62" t="str">
        <f t="shared" si="280"/>
        <v>Hide Row</v>
      </c>
    </row>
    <row r="947" spans="3:33" hidden="1">
      <c r="C947" s="58">
        <v>0</v>
      </c>
      <c r="E947" s="196">
        <f t="shared" si="279"/>
        <v>0</v>
      </c>
      <c r="F947" s="196">
        <f t="shared" si="279"/>
        <v>0</v>
      </c>
      <c r="G947" s="196">
        <f t="shared" si="279"/>
        <v>0</v>
      </c>
      <c r="H947" s="196">
        <f t="shared" si="279"/>
        <v>0</v>
      </c>
      <c r="I947" s="196">
        <f t="shared" si="279"/>
        <v>0</v>
      </c>
      <c r="J947" s="196">
        <f t="shared" si="279"/>
        <v>0</v>
      </c>
      <c r="K947" s="196">
        <f t="shared" si="279"/>
        <v>0</v>
      </c>
      <c r="L947" s="196">
        <f t="shared" si="279"/>
        <v>0</v>
      </c>
      <c r="M947" s="196">
        <f t="shared" si="279"/>
        <v>0</v>
      </c>
      <c r="N947" s="196">
        <f t="shared" si="279"/>
        <v>0</v>
      </c>
      <c r="O947" s="196">
        <f t="shared" si="279"/>
        <v>0</v>
      </c>
      <c r="P947" s="196">
        <f t="shared" si="279"/>
        <v>0</v>
      </c>
      <c r="Q947" s="196">
        <f t="shared" si="279"/>
        <v>0</v>
      </c>
      <c r="AC947" s="54"/>
      <c r="AG947" s="62" t="str">
        <f t="shared" si="280"/>
        <v>Hide Row</v>
      </c>
    </row>
    <row r="948" spans="3:33">
      <c r="C948" s="58" t="s">
        <v>180</v>
      </c>
      <c r="E948" s="196">
        <f t="shared" si="279"/>
        <v>0</v>
      </c>
      <c r="F948" s="196">
        <f t="shared" si="279"/>
        <v>0</v>
      </c>
      <c r="G948" s="196">
        <f t="shared" si="279"/>
        <v>0</v>
      </c>
      <c r="H948" s="196">
        <f t="shared" si="279"/>
        <v>0</v>
      </c>
      <c r="I948" s="196">
        <f t="shared" si="279"/>
        <v>0</v>
      </c>
      <c r="J948" s="196">
        <f t="shared" si="279"/>
        <v>0</v>
      </c>
      <c r="K948" s="196">
        <f t="shared" si="279"/>
        <v>0</v>
      </c>
      <c r="L948" s="196">
        <f t="shared" si="279"/>
        <v>0</v>
      </c>
      <c r="M948" s="196">
        <f t="shared" si="279"/>
        <v>0</v>
      </c>
      <c r="N948" s="196">
        <f t="shared" si="279"/>
        <v>0</v>
      </c>
      <c r="O948" s="196">
        <f t="shared" si="279"/>
        <v>0</v>
      </c>
      <c r="P948" s="196">
        <f t="shared" si="279"/>
        <v>0</v>
      </c>
      <c r="Q948" s="196">
        <f t="shared" si="279"/>
        <v>0</v>
      </c>
      <c r="AC948" s="54"/>
      <c r="AG948" s="62" t="str">
        <f t="shared" si="280"/>
        <v>Hide Row</v>
      </c>
    </row>
    <row r="949" spans="3:33">
      <c r="C949" s="58" t="s">
        <v>183</v>
      </c>
      <c r="E949" s="196">
        <f t="shared" si="279"/>
        <v>33.432354571469787</v>
      </c>
      <c r="F949" s="196">
        <f t="shared" si="279"/>
        <v>31.996356985367811</v>
      </c>
      <c r="G949" s="196">
        <f t="shared" si="279"/>
        <v>31.996371283255087</v>
      </c>
      <c r="H949" s="196">
        <f t="shared" si="279"/>
        <v>31.996399132321038</v>
      </c>
      <c r="I949" s="196">
        <f t="shared" si="279"/>
        <v>33.824696729957807</v>
      </c>
      <c r="J949" s="196">
        <f t="shared" si="279"/>
        <v>33.981873361449907</v>
      </c>
      <c r="K949" s="196">
        <f t="shared" si="279"/>
        <v>34.874174540682411</v>
      </c>
      <c r="L949" s="196">
        <f t="shared" si="279"/>
        <v>35.183935185185184</v>
      </c>
      <c r="M949" s="196">
        <f t="shared" si="279"/>
        <v>36.13479570840682</v>
      </c>
      <c r="N949" s="196">
        <f t="shared" si="279"/>
        <v>35.108608689538805</v>
      </c>
      <c r="O949" s="196">
        <f t="shared" si="279"/>
        <v>34.775029411764706</v>
      </c>
      <c r="P949" s="196">
        <f t="shared" si="279"/>
        <v>35.345778380006024</v>
      </c>
      <c r="Q949" s="196">
        <f t="shared" si="279"/>
        <v>34.441785442797418</v>
      </c>
      <c r="AC949" s="54"/>
      <c r="AG949" s="62" t="str">
        <f t="shared" si="280"/>
        <v/>
      </c>
    </row>
    <row r="950" spans="3:33">
      <c r="C950" s="58" t="s">
        <v>185</v>
      </c>
      <c r="E950" s="196">
        <f t="shared" si="279"/>
        <v>0</v>
      </c>
      <c r="F950" s="196">
        <f t="shared" si="279"/>
        <v>0</v>
      </c>
      <c r="G950" s="196">
        <f t="shared" si="279"/>
        <v>0</v>
      </c>
      <c r="H950" s="196">
        <f t="shared" si="279"/>
        <v>0</v>
      </c>
      <c r="I950" s="196">
        <f t="shared" si="279"/>
        <v>0</v>
      </c>
      <c r="J950" s="196">
        <f t="shared" si="279"/>
        <v>0</v>
      </c>
      <c r="K950" s="196">
        <f t="shared" si="279"/>
        <v>0</v>
      </c>
      <c r="L950" s="196">
        <f t="shared" si="279"/>
        <v>0</v>
      </c>
      <c r="M950" s="196">
        <f t="shared" si="279"/>
        <v>0</v>
      </c>
      <c r="N950" s="196">
        <f t="shared" si="279"/>
        <v>0</v>
      </c>
      <c r="O950" s="196">
        <f t="shared" si="279"/>
        <v>0</v>
      </c>
      <c r="P950" s="196">
        <f t="shared" si="279"/>
        <v>0</v>
      </c>
      <c r="Q950" s="196">
        <f t="shared" si="279"/>
        <v>0</v>
      </c>
      <c r="AC950" s="54"/>
      <c r="AG950" s="62" t="str">
        <f t="shared" si="280"/>
        <v>Hide Row</v>
      </c>
    </row>
    <row r="951" spans="3:33">
      <c r="C951" s="58" t="s">
        <v>188</v>
      </c>
      <c r="E951" s="196">
        <f t="shared" si="279"/>
        <v>97.760402601308471</v>
      </c>
      <c r="F951" s="196">
        <f t="shared" si="279"/>
        <v>97.760399679793395</v>
      </c>
      <c r="G951" s="196">
        <f t="shared" si="279"/>
        <v>97.760404863126595</v>
      </c>
      <c r="H951" s="196">
        <f t="shared" si="279"/>
        <v>97.760399679793395</v>
      </c>
      <c r="I951" s="196">
        <f t="shared" si="279"/>
        <v>97.760404863126595</v>
      </c>
      <c r="J951" s="196">
        <f t="shared" si="279"/>
        <v>97.760404863126595</v>
      </c>
      <c r="K951" s="196">
        <f t="shared" si="279"/>
        <v>97.760399679793395</v>
      </c>
      <c r="L951" s="196">
        <f t="shared" si="279"/>
        <v>97.760404863126595</v>
      </c>
      <c r="M951" s="196">
        <f t="shared" si="279"/>
        <v>97.760399679793395</v>
      </c>
      <c r="N951" s="196">
        <f t="shared" si="279"/>
        <v>97.760404863126595</v>
      </c>
      <c r="O951" s="196">
        <f t="shared" si="279"/>
        <v>0</v>
      </c>
      <c r="P951" s="196">
        <f t="shared" si="279"/>
        <v>0</v>
      </c>
      <c r="Q951" s="196">
        <f t="shared" si="279"/>
        <v>0</v>
      </c>
      <c r="AC951" s="54"/>
      <c r="AG951" s="62" t="str">
        <f t="shared" si="280"/>
        <v/>
      </c>
    </row>
    <row r="952" spans="3:33" hidden="1">
      <c r="C952" s="58" t="s">
        <v>190</v>
      </c>
      <c r="E952" s="196">
        <f t="shared" si="279"/>
        <v>0</v>
      </c>
      <c r="F952" s="196">
        <f t="shared" si="279"/>
        <v>0</v>
      </c>
      <c r="G952" s="196">
        <f t="shared" si="279"/>
        <v>0</v>
      </c>
      <c r="H952" s="196">
        <f t="shared" si="279"/>
        <v>0</v>
      </c>
      <c r="I952" s="196">
        <f t="shared" si="279"/>
        <v>0</v>
      </c>
      <c r="J952" s="196">
        <f t="shared" si="279"/>
        <v>0</v>
      </c>
      <c r="K952" s="196">
        <f t="shared" si="279"/>
        <v>0</v>
      </c>
      <c r="L952" s="196">
        <f t="shared" si="279"/>
        <v>0</v>
      </c>
      <c r="M952" s="196">
        <f t="shared" si="279"/>
        <v>0</v>
      </c>
      <c r="N952" s="196">
        <f t="shared" si="279"/>
        <v>0</v>
      </c>
      <c r="O952" s="196">
        <f t="shared" si="279"/>
        <v>0</v>
      </c>
      <c r="P952" s="196">
        <f t="shared" si="279"/>
        <v>0</v>
      </c>
      <c r="Q952" s="196">
        <f t="shared" si="279"/>
        <v>0</v>
      </c>
      <c r="AC952" s="54"/>
      <c r="AG952" s="62" t="str">
        <f t="shared" si="280"/>
        <v>Hide Row</v>
      </c>
    </row>
    <row r="953" spans="3:33">
      <c r="C953" s="58" t="s">
        <v>192</v>
      </c>
      <c r="E953" s="196">
        <f t="shared" si="279"/>
        <v>66.243444092570783</v>
      </c>
      <c r="F953" s="196">
        <f t="shared" si="279"/>
        <v>68.527436527895063</v>
      </c>
      <c r="G953" s="196">
        <f t="shared" si="279"/>
        <v>167.04185352447575</v>
      </c>
      <c r="H953" s="196">
        <f t="shared" si="279"/>
        <v>1676.5200994721158</v>
      </c>
      <c r="I953" s="196">
        <f t="shared" si="279"/>
        <v>57.101848288717534</v>
      </c>
      <c r="J953" s="196">
        <f t="shared" si="279"/>
        <v>54.572236335848096</v>
      </c>
      <c r="K953" s="196">
        <f t="shared" si="279"/>
        <v>61.991865198808732</v>
      </c>
      <c r="L953" s="196">
        <f t="shared" si="279"/>
        <v>54.82436917210979</v>
      </c>
      <c r="M953" s="196">
        <f t="shared" si="279"/>
        <v>61.044077278392756</v>
      </c>
      <c r="N953" s="196">
        <f t="shared" si="279"/>
        <v>61.539570562052184</v>
      </c>
      <c r="O953" s="196">
        <f t="shared" si="279"/>
        <v>62.960243474932277</v>
      </c>
      <c r="P953" s="196">
        <f t="shared" si="279"/>
        <v>66.736719142179723</v>
      </c>
      <c r="Q953" s="196">
        <f t="shared" si="279"/>
        <v>67.412619303993324</v>
      </c>
      <c r="AC953" s="54"/>
      <c r="AG953" s="64"/>
    </row>
    <row r="954" spans="3:33">
      <c r="C954" s="58" t="s">
        <v>196</v>
      </c>
      <c r="E954" s="196">
        <f t="shared" si="279"/>
        <v>0</v>
      </c>
      <c r="F954" s="196">
        <f t="shared" si="279"/>
        <v>0</v>
      </c>
      <c r="G954" s="196">
        <f t="shared" si="279"/>
        <v>0</v>
      </c>
      <c r="H954" s="196">
        <f t="shared" si="279"/>
        <v>0</v>
      </c>
      <c r="I954" s="196">
        <f t="shared" si="279"/>
        <v>0</v>
      </c>
      <c r="J954" s="196">
        <f t="shared" si="279"/>
        <v>0</v>
      </c>
      <c r="K954" s="196">
        <f t="shared" si="279"/>
        <v>0</v>
      </c>
      <c r="L954" s="196">
        <f t="shared" si="279"/>
        <v>0</v>
      </c>
      <c r="M954" s="196">
        <f t="shared" si="279"/>
        <v>0</v>
      </c>
      <c r="N954" s="196">
        <f t="shared" si="279"/>
        <v>0</v>
      </c>
      <c r="O954" s="196">
        <f t="shared" si="279"/>
        <v>0</v>
      </c>
      <c r="P954" s="196">
        <f t="shared" si="279"/>
        <v>0</v>
      </c>
      <c r="Q954" s="196">
        <f t="shared" si="279"/>
        <v>0</v>
      </c>
      <c r="AC954" s="54"/>
      <c r="AG954" s="62" t="str">
        <f t="shared" ref="AG954:AG977" si="281">AG416</f>
        <v>Hide Row</v>
      </c>
    </row>
    <row r="955" spans="3:33" hidden="1">
      <c r="C955" s="58" t="s">
        <v>198</v>
      </c>
      <c r="E955" s="196">
        <f t="shared" ref="E955:Q970" si="282">IF(OR(E417=0,NOT($S417)),0,E87/E417)</f>
        <v>0</v>
      </c>
      <c r="F955" s="196">
        <f t="shared" si="282"/>
        <v>0</v>
      </c>
      <c r="G955" s="196">
        <f t="shared" si="282"/>
        <v>0</v>
      </c>
      <c r="H955" s="196">
        <f t="shared" si="282"/>
        <v>0</v>
      </c>
      <c r="I955" s="196">
        <f t="shared" si="282"/>
        <v>0</v>
      </c>
      <c r="J955" s="196">
        <f t="shared" si="282"/>
        <v>0</v>
      </c>
      <c r="K955" s="196">
        <f t="shared" si="282"/>
        <v>0</v>
      </c>
      <c r="L955" s="196">
        <f t="shared" si="282"/>
        <v>0</v>
      </c>
      <c r="M955" s="196">
        <f t="shared" si="282"/>
        <v>0</v>
      </c>
      <c r="N955" s="196">
        <f t="shared" si="282"/>
        <v>0</v>
      </c>
      <c r="O955" s="196">
        <f t="shared" si="282"/>
        <v>0</v>
      </c>
      <c r="P955" s="196">
        <f t="shared" si="282"/>
        <v>0</v>
      </c>
      <c r="Q955" s="196">
        <f t="shared" si="282"/>
        <v>0</v>
      </c>
      <c r="AC955" s="54"/>
      <c r="AG955" s="62" t="str">
        <f t="shared" si="281"/>
        <v>Hide Row</v>
      </c>
    </row>
    <row r="956" spans="3:33">
      <c r="C956" s="58" t="s">
        <v>203</v>
      </c>
      <c r="E956" s="196">
        <f t="shared" si="282"/>
        <v>0</v>
      </c>
      <c r="F956" s="196">
        <f t="shared" si="282"/>
        <v>0</v>
      </c>
      <c r="G956" s="196">
        <f t="shared" si="282"/>
        <v>0</v>
      </c>
      <c r="H956" s="196">
        <f t="shared" si="282"/>
        <v>0</v>
      </c>
      <c r="I956" s="196">
        <f t="shared" si="282"/>
        <v>0</v>
      </c>
      <c r="J956" s="196">
        <f t="shared" si="282"/>
        <v>0</v>
      </c>
      <c r="K956" s="196">
        <f t="shared" si="282"/>
        <v>0</v>
      </c>
      <c r="L956" s="196">
        <f t="shared" si="282"/>
        <v>0</v>
      </c>
      <c r="M956" s="196">
        <f t="shared" si="282"/>
        <v>0</v>
      </c>
      <c r="N956" s="196">
        <f t="shared" si="282"/>
        <v>0</v>
      </c>
      <c r="O956" s="196">
        <f t="shared" si="282"/>
        <v>0</v>
      </c>
      <c r="P956" s="196">
        <f t="shared" si="282"/>
        <v>0</v>
      </c>
      <c r="Q956" s="196">
        <f t="shared" si="282"/>
        <v>0</v>
      </c>
      <c r="AC956" s="54"/>
      <c r="AG956" s="62" t="str">
        <f t="shared" si="281"/>
        <v>Hide Row</v>
      </c>
    </row>
    <row r="957" spans="3:33" hidden="1">
      <c r="C957" s="58" t="s">
        <v>204</v>
      </c>
      <c r="E957" s="196">
        <f t="shared" si="282"/>
        <v>0</v>
      </c>
      <c r="F957" s="196">
        <f t="shared" si="282"/>
        <v>0</v>
      </c>
      <c r="G957" s="196">
        <f t="shared" si="282"/>
        <v>0</v>
      </c>
      <c r="H957" s="196">
        <f t="shared" si="282"/>
        <v>0</v>
      </c>
      <c r="I957" s="196">
        <f t="shared" si="282"/>
        <v>0</v>
      </c>
      <c r="J957" s="196">
        <f t="shared" si="282"/>
        <v>0</v>
      </c>
      <c r="K957" s="196">
        <f t="shared" si="282"/>
        <v>0</v>
      </c>
      <c r="L957" s="196">
        <f t="shared" si="282"/>
        <v>0</v>
      </c>
      <c r="M957" s="196">
        <f t="shared" si="282"/>
        <v>0</v>
      </c>
      <c r="N957" s="196">
        <f t="shared" si="282"/>
        <v>0</v>
      </c>
      <c r="O957" s="196">
        <f t="shared" si="282"/>
        <v>0</v>
      </c>
      <c r="P957" s="196">
        <f t="shared" si="282"/>
        <v>0</v>
      </c>
      <c r="Q957" s="196">
        <f t="shared" si="282"/>
        <v>0</v>
      </c>
      <c r="AC957" s="54"/>
      <c r="AG957" s="62" t="str">
        <f t="shared" si="281"/>
        <v>Hide Row</v>
      </c>
    </row>
    <row r="958" spans="3:33" hidden="1">
      <c r="C958" s="58" t="s">
        <v>208</v>
      </c>
      <c r="E958" s="196">
        <f t="shared" si="282"/>
        <v>0</v>
      </c>
      <c r="F958" s="196">
        <f t="shared" si="282"/>
        <v>0</v>
      </c>
      <c r="G958" s="196">
        <f t="shared" si="282"/>
        <v>0</v>
      </c>
      <c r="H958" s="196">
        <f t="shared" si="282"/>
        <v>0</v>
      </c>
      <c r="I958" s="196">
        <f t="shared" si="282"/>
        <v>0</v>
      </c>
      <c r="J958" s="196">
        <f t="shared" si="282"/>
        <v>0</v>
      </c>
      <c r="K958" s="196">
        <f t="shared" si="282"/>
        <v>0</v>
      </c>
      <c r="L958" s="196">
        <f t="shared" si="282"/>
        <v>0</v>
      </c>
      <c r="M958" s="196">
        <f t="shared" si="282"/>
        <v>0</v>
      </c>
      <c r="N958" s="196">
        <f t="shared" si="282"/>
        <v>0</v>
      </c>
      <c r="O958" s="196">
        <f t="shared" si="282"/>
        <v>0</v>
      </c>
      <c r="P958" s="196">
        <f t="shared" si="282"/>
        <v>0</v>
      </c>
      <c r="Q958" s="196">
        <f t="shared" si="282"/>
        <v>0</v>
      </c>
      <c r="AC958" s="54"/>
      <c r="AG958" s="62" t="str">
        <f t="shared" si="281"/>
        <v>Hide Row</v>
      </c>
    </row>
    <row r="959" spans="3:33" hidden="1">
      <c r="C959" s="58" t="s">
        <v>213</v>
      </c>
      <c r="E959" s="196">
        <f t="shared" si="282"/>
        <v>0</v>
      </c>
      <c r="F959" s="196">
        <f t="shared" si="282"/>
        <v>0</v>
      </c>
      <c r="G959" s="196">
        <f t="shared" si="282"/>
        <v>0</v>
      </c>
      <c r="H959" s="196">
        <f t="shared" si="282"/>
        <v>0</v>
      </c>
      <c r="I959" s="196">
        <f t="shared" si="282"/>
        <v>0</v>
      </c>
      <c r="J959" s="196">
        <f t="shared" si="282"/>
        <v>0</v>
      </c>
      <c r="K959" s="196">
        <f t="shared" si="282"/>
        <v>0</v>
      </c>
      <c r="L959" s="196">
        <f t="shared" si="282"/>
        <v>0</v>
      </c>
      <c r="M959" s="196">
        <f t="shared" si="282"/>
        <v>0</v>
      </c>
      <c r="N959" s="196">
        <f t="shared" si="282"/>
        <v>0</v>
      </c>
      <c r="O959" s="196">
        <f t="shared" si="282"/>
        <v>0</v>
      </c>
      <c r="P959" s="196">
        <f t="shared" si="282"/>
        <v>0</v>
      </c>
      <c r="Q959" s="196">
        <f t="shared" si="282"/>
        <v>0</v>
      </c>
      <c r="AC959" s="54"/>
      <c r="AG959" s="62" t="str">
        <f t="shared" si="281"/>
        <v>Hide Row</v>
      </c>
    </row>
    <row r="960" spans="3:33">
      <c r="C960" s="58" t="s">
        <v>218</v>
      </c>
      <c r="E960" s="196">
        <f t="shared" si="282"/>
        <v>0</v>
      </c>
      <c r="F960" s="196">
        <f t="shared" si="282"/>
        <v>0</v>
      </c>
      <c r="G960" s="196">
        <f t="shared" si="282"/>
        <v>0</v>
      </c>
      <c r="H960" s="196">
        <f t="shared" si="282"/>
        <v>0</v>
      </c>
      <c r="I960" s="196">
        <f t="shared" si="282"/>
        <v>0</v>
      </c>
      <c r="J960" s="196">
        <f t="shared" si="282"/>
        <v>0</v>
      </c>
      <c r="K960" s="196">
        <f t="shared" si="282"/>
        <v>0</v>
      </c>
      <c r="L960" s="196">
        <f t="shared" si="282"/>
        <v>0</v>
      </c>
      <c r="M960" s="196">
        <f t="shared" si="282"/>
        <v>0</v>
      </c>
      <c r="N960" s="196">
        <f t="shared" si="282"/>
        <v>0</v>
      </c>
      <c r="O960" s="196">
        <f t="shared" si="282"/>
        <v>0</v>
      </c>
      <c r="P960" s="196">
        <f t="shared" si="282"/>
        <v>0</v>
      </c>
      <c r="Q960" s="196">
        <f t="shared" si="282"/>
        <v>0</v>
      </c>
      <c r="AC960" s="54"/>
      <c r="AG960" s="62" t="str">
        <f t="shared" si="281"/>
        <v>Hide Row</v>
      </c>
    </row>
    <row r="961" spans="3:33" hidden="1">
      <c r="C961" s="58" t="s">
        <v>220</v>
      </c>
      <c r="E961" s="196">
        <f t="shared" si="282"/>
        <v>0</v>
      </c>
      <c r="F961" s="196">
        <f t="shared" si="282"/>
        <v>0</v>
      </c>
      <c r="G961" s="196">
        <f t="shared" si="282"/>
        <v>0</v>
      </c>
      <c r="H961" s="196">
        <f t="shared" si="282"/>
        <v>0</v>
      </c>
      <c r="I961" s="196">
        <f t="shared" si="282"/>
        <v>0</v>
      </c>
      <c r="J961" s="196">
        <f t="shared" si="282"/>
        <v>0</v>
      </c>
      <c r="K961" s="196">
        <f t="shared" si="282"/>
        <v>0</v>
      </c>
      <c r="L961" s="196">
        <f t="shared" si="282"/>
        <v>0</v>
      </c>
      <c r="M961" s="196">
        <f t="shared" si="282"/>
        <v>0</v>
      </c>
      <c r="N961" s="196">
        <f t="shared" si="282"/>
        <v>0</v>
      </c>
      <c r="O961" s="196">
        <f t="shared" si="282"/>
        <v>0</v>
      </c>
      <c r="P961" s="196">
        <f t="shared" si="282"/>
        <v>0</v>
      </c>
      <c r="Q961" s="196">
        <f t="shared" si="282"/>
        <v>0</v>
      </c>
      <c r="AC961" s="54"/>
      <c r="AG961" s="62" t="str">
        <f t="shared" si="281"/>
        <v>Hide Row</v>
      </c>
    </row>
    <row r="962" spans="3:33" hidden="1">
      <c r="C962" s="58" t="s">
        <v>221</v>
      </c>
      <c r="E962" s="196">
        <f t="shared" si="282"/>
        <v>0</v>
      </c>
      <c r="F962" s="196">
        <f t="shared" si="282"/>
        <v>0</v>
      </c>
      <c r="G962" s="196">
        <f t="shared" si="282"/>
        <v>0</v>
      </c>
      <c r="H962" s="196">
        <f t="shared" si="282"/>
        <v>0</v>
      </c>
      <c r="I962" s="196">
        <f t="shared" si="282"/>
        <v>0</v>
      </c>
      <c r="J962" s="196">
        <f t="shared" si="282"/>
        <v>0</v>
      </c>
      <c r="K962" s="196">
        <f t="shared" si="282"/>
        <v>0</v>
      </c>
      <c r="L962" s="196">
        <f t="shared" si="282"/>
        <v>0</v>
      </c>
      <c r="M962" s="196">
        <f t="shared" si="282"/>
        <v>0</v>
      </c>
      <c r="N962" s="196">
        <f t="shared" si="282"/>
        <v>0</v>
      </c>
      <c r="O962" s="196">
        <f t="shared" si="282"/>
        <v>0</v>
      </c>
      <c r="P962" s="196">
        <f t="shared" si="282"/>
        <v>0</v>
      </c>
      <c r="Q962" s="196">
        <f t="shared" si="282"/>
        <v>0</v>
      </c>
      <c r="AC962" s="54"/>
      <c r="AG962" s="62" t="str">
        <f t="shared" si="281"/>
        <v>Hide Row</v>
      </c>
    </row>
    <row r="963" spans="3:33" hidden="1">
      <c r="C963" s="58" t="s">
        <v>224</v>
      </c>
      <c r="E963" s="196">
        <f t="shared" si="282"/>
        <v>0</v>
      </c>
      <c r="F963" s="196">
        <f t="shared" si="282"/>
        <v>0</v>
      </c>
      <c r="G963" s="196">
        <f t="shared" si="282"/>
        <v>0</v>
      </c>
      <c r="H963" s="196">
        <f t="shared" si="282"/>
        <v>0</v>
      </c>
      <c r="I963" s="196">
        <f t="shared" si="282"/>
        <v>0</v>
      </c>
      <c r="J963" s="196">
        <f t="shared" si="282"/>
        <v>0</v>
      </c>
      <c r="K963" s="196">
        <f t="shared" si="282"/>
        <v>0</v>
      </c>
      <c r="L963" s="196">
        <f t="shared" si="282"/>
        <v>0</v>
      </c>
      <c r="M963" s="196">
        <f t="shared" si="282"/>
        <v>0</v>
      </c>
      <c r="N963" s="196">
        <f t="shared" si="282"/>
        <v>0</v>
      </c>
      <c r="O963" s="196">
        <f t="shared" si="282"/>
        <v>0</v>
      </c>
      <c r="P963" s="196">
        <f t="shared" si="282"/>
        <v>0</v>
      </c>
      <c r="Q963" s="196">
        <f t="shared" si="282"/>
        <v>0</v>
      </c>
      <c r="AC963" s="54"/>
      <c r="AG963" s="62" t="str">
        <f t="shared" si="281"/>
        <v>Hide Row</v>
      </c>
    </row>
    <row r="964" spans="3:33" hidden="1">
      <c r="C964" s="58">
        <v>0</v>
      </c>
      <c r="E964" s="196">
        <f t="shared" si="282"/>
        <v>0</v>
      </c>
      <c r="F964" s="196">
        <f t="shared" si="282"/>
        <v>0</v>
      </c>
      <c r="G964" s="196">
        <f t="shared" si="282"/>
        <v>0</v>
      </c>
      <c r="H964" s="196">
        <f t="shared" si="282"/>
        <v>0</v>
      </c>
      <c r="I964" s="196">
        <f t="shared" si="282"/>
        <v>0</v>
      </c>
      <c r="J964" s="196">
        <f t="shared" si="282"/>
        <v>0</v>
      </c>
      <c r="K964" s="196">
        <f t="shared" si="282"/>
        <v>0</v>
      </c>
      <c r="L964" s="196">
        <f t="shared" si="282"/>
        <v>0</v>
      </c>
      <c r="M964" s="196">
        <f t="shared" si="282"/>
        <v>0</v>
      </c>
      <c r="N964" s="196">
        <f t="shared" si="282"/>
        <v>0</v>
      </c>
      <c r="O964" s="196">
        <f t="shared" si="282"/>
        <v>0</v>
      </c>
      <c r="P964" s="196">
        <f t="shared" si="282"/>
        <v>0</v>
      </c>
      <c r="Q964" s="196">
        <f t="shared" si="282"/>
        <v>0</v>
      </c>
      <c r="AC964" s="54"/>
      <c r="AG964" s="62" t="str">
        <f t="shared" si="281"/>
        <v>Hide Row</v>
      </c>
    </row>
    <row r="965" spans="3:33" hidden="1">
      <c r="C965" s="58" t="s">
        <v>227</v>
      </c>
      <c r="E965" s="196">
        <f t="shared" si="282"/>
        <v>0</v>
      </c>
      <c r="F965" s="196">
        <f t="shared" si="282"/>
        <v>0</v>
      </c>
      <c r="G965" s="196">
        <f t="shared" si="282"/>
        <v>0</v>
      </c>
      <c r="H965" s="196">
        <f t="shared" si="282"/>
        <v>0</v>
      </c>
      <c r="I965" s="196">
        <f t="shared" si="282"/>
        <v>0</v>
      </c>
      <c r="J965" s="196">
        <f t="shared" si="282"/>
        <v>0</v>
      </c>
      <c r="K965" s="196">
        <f t="shared" si="282"/>
        <v>0</v>
      </c>
      <c r="L965" s="196">
        <f t="shared" si="282"/>
        <v>0</v>
      </c>
      <c r="M965" s="196">
        <f t="shared" si="282"/>
        <v>0</v>
      </c>
      <c r="N965" s="196">
        <f t="shared" si="282"/>
        <v>0</v>
      </c>
      <c r="O965" s="196">
        <f t="shared" si="282"/>
        <v>0</v>
      </c>
      <c r="P965" s="196">
        <f t="shared" si="282"/>
        <v>0</v>
      </c>
      <c r="Q965" s="196">
        <f t="shared" si="282"/>
        <v>0</v>
      </c>
      <c r="AC965" s="54"/>
      <c r="AG965" s="62" t="str">
        <f t="shared" si="281"/>
        <v>Hide Row</v>
      </c>
    </row>
    <row r="966" spans="3:33" hidden="1">
      <c r="C966" s="58" t="s">
        <v>230</v>
      </c>
      <c r="E966" s="196">
        <f t="shared" si="282"/>
        <v>0</v>
      </c>
      <c r="F966" s="196">
        <f t="shared" si="282"/>
        <v>0</v>
      </c>
      <c r="G966" s="196">
        <f t="shared" si="282"/>
        <v>0</v>
      </c>
      <c r="H966" s="196">
        <f t="shared" si="282"/>
        <v>0</v>
      </c>
      <c r="I966" s="196">
        <f t="shared" si="282"/>
        <v>0</v>
      </c>
      <c r="J966" s="196">
        <f t="shared" si="282"/>
        <v>0</v>
      </c>
      <c r="K966" s="196">
        <f t="shared" si="282"/>
        <v>0</v>
      </c>
      <c r="L966" s="196">
        <f t="shared" si="282"/>
        <v>0</v>
      </c>
      <c r="M966" s="196">
        <f t="shared" si="282"/>
        <v>0</v>
      </c>
      <c r="N966" s="196">
        <f t="shared" si="282"/>
        <v>0</v>
      </c>
      <c r="O966" s="196">
        <f t="shared" si="282"/>
        <v>0</v>
      </c>
      <c r="P966" s="196">
        <f t="shared" si="282"/>
        <v>0</v>
      </c>
      <c r="Q966" s="196">
        <f t="shared" si="282"/>
        <v>0</v>
      </c>
      <c r="AC966" s="54"/>
      <c r="AG966" s="62" t="str">
        <f t="shared" si="281"/>
        <v>Hide Row</v>
      </c>
    </row>
    <row r="967" spans="3:33">
      <c r="C967" s="58" t="s">
        <v>236</v>
      </c>
      <c r="E967" s="196">
        <f t="shared" si="282"/>
        <v>19.547716566866271</v>
      </c>
      <c r="F967" s="196">
        <f t="shared" si="282"/>
        <v>19.784658585858587</v>
      </c>
      <c r="G967" s="196">
        <f t="shared" si="282"/>
        <v>19.316382642998029</v>
      </c>
      <c r="H967" s="196">
        <f t="shared" si="282"/>
        <v>19.784658585858587</v>
      </c>
      <c r="I967" s="196">
        <f t="shared" si="282"/>
        <v>19.316382642998029</v>
      </c>
      <c r="J967" s="196">
        <f t="shared" si="282"/>
        <v>19.316382642998029</v>
      </c>
      <c r="K967" s="196">
        <f t="shared" si="282"/>
        <v>19.784658585858587</v>
      </c>
      <c r="L967" s="196">
        <f t="shared" si="282"/>
        <v>19.316382642998029</v>
      </c>
      <c r="M967" s="196">
        <f t="shared" si="282"/>
        <v>19.784658585858587</v>
      </c>
      <c r="N967" s="196">
        <f t="shared" si="282"/>
        <v>19.316382642998029</v>
      </c>
      <c r="O967" s="196">
        <f t="shared" si="282"/>
        <v>19.316382642998029</v>
      </c>
      <c r="P967" s="196">
        <f t="shared" si="282"/>
        <v>20.276202898550725</v>
      </c>
      <c r="Q967" s="196">
        <f t="shared" si="282"/>
        <v>19.316382642998029</v>
      </c>
      <c r="AC967" s="54"/>
      <c r="AG967" s="62" t="str">
        <f t="shared" si="281"/>
        <v/>
      </c>
    </row>
    <row r="968" spans="3:33">
      <c r="C968" s="58" t="s">
        <v>239</v>
      </c>
      <c r="E968" s="196">
        <f t="shared" si="282"/>
        <v>0</v>
      </c>
      <c r="F968" s="196">
        <f t="shared" si="282"/>
        <v>0</v>
      </c>
      <c r="G968" s="196">
        <f t="shared" si="282"/>
        <v>0</v>
      </c>
      <c r="H968" s="196">
        <f t="shared" si="282"/>
        <v>0</v>
      </c>
      <c r="I968" s="196">
        <f t="shared" si="282"/>
        <v>0</v>
      </c>
      <c r="J968" s="196">
        <f t="shared" si="282"/>
        <v>0</v>
      </c>
      <c r="K968" s="196">
        <f t="shared" si="282"/>
        <v>0</v>
      </c>
      <c r="L968" s="196">
        <f t="shared" si="282"/>
        <v>0</v>
      </c>
      <c r="M968" s="196">
        <f t="shared" si="282"/>
        <v>0</v>
      </c>
      <c r="N968" s="196">
        <f t="shared" si="282"/>
        <v>0</v>
      </c>
      <c r="O968" s="196">
        <f t="shared" si="282"/>
        <v>0</v>
      </c>
      <c r="P968" s="196">
        <f t="shared" si="282"/>
        <v>0</v>
      </c>
      <c r="Q968" s="196">
        <f t="shared" si="282"/>
        <v>0</v>
      </c>
      <c r="AC968" s="54"/>
      <c r="AG968" s="62" t="str">
        <f t="shared" si="281"/>
        <v>Hide Row</v>
      </c>
    </row>
    <row r="969" spans="3:33" hidden="1">
      <c r="C969" s="58" t="s">
        <v>242</v>
      </c>
      <c r="E969" s="196">
        <f t="shared" si="282"/>
        <v>0</v>
      </c>
      <c r="F969" s="196">
        <f t="shared" si="282"/>
        <v>0</v>
      </c>
      <c r="G969" s="196">
        <f t="shared" si="282"/>
        <v>0</v>
      </c>
      <c r="H969" s="196">
        <f t="shared" si="282"/>
        <v>0</v>
      </c>
      <c r="I969" s="196">
        <f t="shared" si="282"/>
        <v>0</v>
      </c>
      <c r="J969" s="196">
        <f t="shared" si="282"/>
        <v>0</v>
      </c>
      <c r="K969" s="196">
        <f t="shared" si="282"/>
        <v>0</v>
      </c>
      <c r="L969" s="196">
        <f t="shared" si="282"/>
        <v>0</v>
      </c>
      <c r="M969" s="196">
        <f t="shared" si="282"/>
        <v>0</v>
      </c>
      <c r="N969" s="196">
        <f t="shared" si="282"/>
        <v>0</v>
      </c>
      <c r="O969" s="196">
        <f t="shared" si="282"/>
        <v>0</v>
      </c>
      <c r="P969" s="196">
        <f t="shared" si="282"/>
        <v>0</v>
      </c>
      <c r="Q969" s="196">
        <f t="shared" si="282"/>
        <v>0</v>
      </c>
      <c r="AC969" s="54"/>
      <c r="AG969" s="62" t="str">
        <f t="shared" si="281"/>
        <v>Hide Row</v>
      </c>
    </row>
    <row r="970" spans="3:33">
      <c r="C970" s="58" t="s">
        <v>245</v>
      </c>
      <c r="E970" s="196">
        <f t="shared" si="282"/>
        <v>0</v>
      </c>
      <c r="F970" s="196">
        <f t="shared" si="282"/>
        <v>0</v>
      </c>
      <c r="G970" s="196">
        <f t="shared" si="282"/>
        <v>0</v>
      </c>
      <c r="H970" s="196">
        <f t="shared" si="282"/>
        <v>0</v>
      </c>
      <c r="I970" s="196">
        <f t="shared" si="282"/>
        <v>0</v>
      </c>
      <c r="J970" s="196">
        <f t="shared" si="282"/>
        <v>0</v>
      </c>
      <c r="K970" s="196">
        <f t="shared" si="282"/>
        <v>0</v>
      </c>
      <c r="L970" s="196">
        <f t="shared" si="282"/>
        <v>0</v>
      </c>
      <c r="M970" s="196">
        <f t="shared" si="282"/>
        <v>0</v>
      </c>
      <c r="N970" s="196">
        <f t="shared" si="282"/>
        <v>0</v>
      </c>
      <c r="O970" s="196">
        <f t="shared" si="282"/>
        <v>0</v>
      </c>
      <c r="P970" s="196">
        <f t="shared" si="282"/>
        <v>0</v>
      </c>
      <c r="Q970" s="196">
        <f t="shared" si="282"/>
        <v>0</v>
      </c>
      <c r="AC970" s="54"/>
      <c r="AG970" s="62" t="str">
        <f t="shared" si="281"/>
        <v>Hide Row</v>
      </c>
    </row>
    <row r="971" spans="3:33">
      <c r="C971" s="58" t="s">
        <v>246</v>
      </c>
      <c r="E971" s="196">
        <f t="shared" ref="E971:Q976" si="283">IF(OR(E433=0,NOT($S433)),0,E103/E433)</f>
        <v>0</v>
      </c>
      <c r="F971" s="196">
        <f t="shared" si="283"/>
        <v>0</v>
      </c>
      <c r="G971" s="196">
        <f t="shared" si="283"/>
        <v>0</v>
      </c>
      <c r="H971" s="196">
        <f t="shared" si="283"/>
        <v>0</v>
      </c>
      <c r="I971" s="196">
        <f t="shared" si="283"/>
        <v>0</v>
      </c>
      <c r="J971" s="196">
        <f t="shared" si="283"/>
        <v>0</v>
      </c>
      <c r="K971" s="196">
        <f t="shared" si="283"/>
        <v>0</v>
      </c>
      <c r="L971" s="196">
        <f t="shared" si="283"/>
        <v>0</v>
      </c>
      <c r="M971" s="196">
        <f t="shared" si="283"/>
        <v>0</v>
      </c>
      <c r="N971" s="196">
        <f t="shared" si="283"/>
        <v>0</v>
      </c>
      <c r="O971" s="196">
        <f t="shared" si="283"/>
        <v>0</v>
      </c>
      <c r="P971" s="196">
        <f t="shared" si="283"/>
        <v>0</v>
      </c>
      <c r="Q971" s="196">
        <f t="shared" si="283"/>
        <v>0</v>
      </c>
      <c r="AC971" s="54"/>
      <c r="AG971" s="62" t="str">
        <f t="shared" si="281"/>
        <v/>
      </c>
    </row>
    <row r="972" spans="3:33">
      <c r="C972" s="58" t="s">
        <v>247</v>
      </c>
      <c r="E972" s="196">
        <f t="shared" si="283"/>
        <v>0</v>
      </c>
      <c r="F972" s="196">
        <f t="shared" si="283"/>
        <v>0</v>
      </c>
      <c r="G972" s="196">
        <f t="shared" si="283"/>
        <v>0</v>
      </c>
      <c r="H972" s="196">
        <f t="shared" si="283"/>
        <v>0</v>
      </c>
      <c r="I972" s="196">
        <f t="shared" si="283"/>
        <v>0</v>
      </c>
      <c r="J972" s="196">
        <f t="shared" si="283"/>
        <v>0</v>
      </c>
      <c r="K972" s="196">
        <f t="shared" si="283"/>
        <v>0</v>
      </c>
      <c r="L972" s="196">
        <f t="shared" si="283"/>
        <v>0</v>
      </c>
      <c r="M972" s="196">
        <f t="shared" si="283"/>
        <v>0</v>
      </c>
      <c r="N972" s="196">
        <f t="shared" si="283"/>
        <v>0</v>
      </c>
      <c r="O972" s="196">
        <f t="shared" si="283"/>
        <v>0</v>
      </c>
      <c r="P972" s="196">
        <f t="shared" si="283"/>
        <v>0</v>
      </c>
      <c r="Q972" s="196">
        <f t="shared" si="283"/>
        <v>0</v>
      </c>
      <c r="AC972" s="54"/>
      <c r="AG972" s="62" t="str">
        <f t="shared" si="281"/>
        <v>Hide Row</v>
      </c>
    </row>
    <row r="973" spans="3:33">
      <c r="C973" s="58" t="s">
        <v>251</v>
      </c>
      <c r="E973" s="196">
        <f t="shared" si="283"/>
        <v>0</v>
      </c>
      <c r="F973" s="196">
        <f t="shared" si="283"/>
        <v>0</v>
      </c>
      <c r="G973" s="196">
        <f t="shared" si="283"/>
        <v>0</v>
      </c>
      <c r="H973" s="196">
        <f t="shared" si="283"/>
        <v>0</v>
      </c>
      <c r="I973" s="196">
        <f t="shared" si="283"/>
        <v>0</v>
      </c>
      <c r="J973" s="196">
        <f t="shared" si="283"/>
        <v>0</v>
      </c>
      <c r="K973" s="196">
        <f t="shared" si="283"/>
        <v>0</v>
      </c>
      <c r="L973" s="196">
        <f t="shared" si="283"/>
        <v>0</v>
      </c>
      <c r="M973" s="196">
        <f t="shared" si="283"/>
        <v>0</v>
      </c>
      <c r="N973" s="196">
        <f t="shared" si="283"/>
        <v>0</v>
      </c>
      <c r="O973" s="196">
        <f t="shared" si="283"/>
        <v>0</v>
      </c>
      <c r="P973" s="196">
        <f t="shared" si="283"/>
        <v>0</v>
      </c>
      <c r="Q973" s="196">
        <f t="shared" si="283"/>
        <v>0</v>
      </c>
      <c r="AC973" s="54"/>
      <c r="AG973" s="62" t="str">
        <f t="shared" si="281"/>
        <v>Hide Row</v>
      </c>
    </row>
    <row r="974" spans="3:33">
      <c r="C974" s="58" t="s">
        <v>253</v>
      </c>
      <c r="E974" s="196">
        <f t="shared" si="283"/>
        <v>0</v>
      </c>
      <c r="F974" s="196">
        <f t="shared" si="283"/>
        <v>0</v>
      </c>
      <c r="G974" s="196">
        <f t="shared" si="283"/>
        <v>0</v>
      </c>
      <c r="H974" s="196">
        <f t="shared" si="283"/>
        <v>0</v>
      </c>
      <c r="I974" s="196">
        <f t="shared" si="283"/>
        <v>0</v>
      </c>
      <c r="J974" s="196">
        <f t="shared" si="283"/>
        <v>0</v>
      </c>
      <c r="K974" s="196">
        <f t="shared" si="283"/>
        <v>0</v>
      </c>
      <c r="L974" s="196">
        <f t="shared" si="283"/>
        <v>0</v>
      </c>
      <c r="M974" s="196">
        <f t="shared" si="283"/>
        <v>0</v>
      </c>
      <c r="N974" s="196">
        <f t="shared" si="283"/>
        <v>0</v>
      </c>
      <c r="O974" s="196">
        <f t="shared" si="283"/>
        <v>0</v>
      </c>
      <c r="P974" s="196">
        <f t="shared" si="283"/>
        <v>0</v>
      </c>
      <c r="Q974" s="196">
        <f t="shared" si="283"/>
        <v>0</v>
      </c>
      <c r="AC974" s="54"/>
      <c r="AG974" s="62" t="str">
        <f t="shared" si="281"/>
        <v>Hide Row</v>
      </c>
    </row>
    <row r="975" spans="3:33">
      <c r="C975" s="58" t="s">
        <v>255</v>
      </c>
      <c r="E975" s="196">
        <f t="shared" si="283"/>
        <v>0</v>
      </c>
      <c r="F975" s="196">
        <f t="shared" si="283"/>
        <v>0</v>
      </c>
      <c r="G975" s="196">
        <f t="shared" si="283"/>
        <v>0</v>
      </c>
      <c r="H975" s="196">
        <f t="shared" si="283"/>
        <v>0</v>
      </c>
      <c r="I975" s="196">
        <f t="shared" si="283"/>
        <v>0</v>
      </c>
      <c r="J975" s="196">
        <f t="shared" si="283"/>
        <v>0</v>
      </c>
      <c r="K975" s="196">
        <f t="shared" si="283"/>
        <v>0</v>
      </c>
      <c r="L975" s="196">
        <f t="shared" si="283"/>
        <v>0</v>
      </c>
      <c r="M975" s="196">
        <f t="shared" si="283"/>
        <v>0</v>
      </c>
      <c r="N975" s="196">
        <f t="shared" si="283"/>
        <v>0</v>
      </c>
      <c r="O975" s="196">
        <f t="shared" si="283"/>
        <v>0</v>
      </c>
      <c r="P975" s="196">
        <f t="shared" si="283"/>
        <v>0</v>
      </c>
      <c r="Q975" s="196">
        <f t="shared" si="283"/>
        <v>0</v>
      </c>
      <c r="AC975" s="54"/>
      <c r="AG975" s="62" t="str">
        <f t="shared" si="281"/>
        <v>Hide Row</v>
      </c>
    </row>
    <row r="976" spans="3:33">
      <c r="C976" s="58" t="s">
        <v>257</v>
      </c>
      <c r="E976" s="196">
        <f t="shared" si="283"/>
        <v>0</v>
      </c>
      <c r="F976" s="196">
        <f t="shared" si="283"/>
        <v>0</v>
      </c>
      <c r="G976" s="196">
        <f t="shared" si="283"/>
        <v>0</v>
      </c>
      <c r="H976" s="196">
        <f t="shared" si="283"/>
        <v>0</v>
      </c>
      <c r="I976" s="196">
        <f t="shared" si="283"/>
        <v>0</v>
      </c>
      <c r="J976" s="196">
        <f t="shared" si="283"/>
        <v>0</v>
      </c>
      <c r="K976" s="196">
        <f t="shared" si="283"/>
        <v>0</v>
      </c>
      <c r="L976" s="196">
        <f t="shared" si="283"/>
        <v>0</v>
      </c>
      <c r="M976" s="196">
        <f t="shared" si="283"/>
        <v>0</v>
      </c>
      <c r="N976" s="196">
        <f t="shared" si="283"/>
        <v>0</v>
      </c>
      <c r="O976" s="196">
        <f t="shared" si="283"/>
        <v>0</v>
      </c>
      <c r="P976" s="196">
        <f t="shared" si="283"/>
        <v>0</v>
      </c>
      <c r="Q976" s="196">
        <f t="shared" si="283"/>
        <v>0</v>
      </c>
      <c r="AC976" s="54"/>
      <c r="AG976" s="62" t="str">
        <f t="shared" si="281"/>
        <v>Hide Row</v>
      </c>
    </row>
    <row r="977" spans="2:33" hidden="1">
      <c r="C977" s="58"/>
      <c r="E977" s="196"/>
      <c r="F977" s="196"/>
      <c r="G977" s="196"/>
      <c r="H977" s="196"/>
      <c r="I977" s="196"/>
      <c r="J977" s="196"/>
      <c r="K977" s="196"/>
      <c r="L977" s="196"/>
      <c r="M977" s="196"/>
      <c r="N977" s="196"/>
      <c r="O977" s="196"/>
      <c r="P977" s="196"/>
      <c r="Q977" s="196"/>
      <c r="AC977" s="54"/>
      <c r="AG977" s="62" t="str">
        <f t="shared" si="281"/>
        <v>Hide Row</v>
      </c>
    </row>
    <row r="978" spans="2:33">
      <c r="C978" s="58"/>
      <c r="E978" s="198"/>
      <c r="F978" s="198"/>
      <c r="G978" s="198"/>
      <c r="H978" s="198"/>
      <c r="I978" s="198"/>
      <c r="J978" s="198"/>
      <c r="K978" s="198"/>
      <c r="L978" s="198"/>
      <c r="M978" s="198"/>
      <c r="N978" s="198"/>
      <c r="O978" s="198"/>
      <c r="P978" s="198"/>
      <c r="Q978" s="198"/>
      <c r="AC978" s="54"/>
    </row>
    <row r="979" spans="2:33">
      <c r="B979" s="51" t="str">
        <f>B441</f>
        <v>Long Term Firm Purchases Total</v>
      </c>
      <c r="C979" s="58"/>
      <c r="E979" s="196">
        <f t="shared" ref="E979:Q979" si="284">IF(E441=0,0,E111/E441)</f>
        <v>63.885922076538051</v>
      </c>
      <c r="F979" s="196">
        <f t="shared" si="284"/>
        <v>65.148608387447766</v>
      </c>
      <c r="G979" s="196">
        <f t="shared" si="284"/>
        <v>110.40587066805425</v>
      </c>
      <c r="H979" s="196">
        <f t="shared" si="284"/>
        <v>171.31515630578784</v>
      </c>
      <c r="I979" s="196">
        <f t="shared" si="284"/>
        <v>56.212307930907635</v>
      </c>
      <c r="J979" s="196">
        <f t="shared" si="284"/>
        <v>54.403182671386723</v>
      </c>
      <c r="K979" s="196">
        <f t="shared" si="284"/>
        <v>61.392004552213713</v>
      </c>
      <c r="L979" s="196">
        <f t="shared" si="284"/>
        <v>55.175392904554961</v>
      </c>
      <c r="M979" s="196">
        <f t="shared" si="284"/>
        <v>60.522063898865973</v>
      </c>
      <c r="N979" s="196">
        <f t="shared" si="284"/>
        <v>61.244005041877564</v>
      </c>
      <c r="O979" s="196">
        <f t="shared" si="284"/>
        <v>60.856135608675352</v>
      </c>
      <c r="P979" s="196">
        <f t="shared" si="284"/>
        <v>64.487177397124256</v>
      </c>
      <c r="Q979" s="196">
        <f t="shared" si="284"/>
        <v>63.871733464957856</v>
      </c>
      <c r="AC979" s="54"/>
    </row>
    <row r="980" spans="2:33">
      <c r="B980" s="88"/>
      <c r="C980" s="58"/>
      <c r="E980" s="196"/>
      <c r="F980" s="196"/>
      <c r="G980" s="196"/>
      <c r="H980" s="196"/>
      <c r="I980" s="196"/>
      <c r="J980" s="196"/>
      <c r="K980" s="196"/>
      <c r="L980" s="196"/>
      <c r="M980" s="196"/>
      <c r="N980" s="196"/>
      <c r="O980" s="196"/>
      <c r="P980" s="196"/>
      <c r="Q980" s="196"/>
      <c r="AC980" s="54"/>
    </row>
    <row r="981" spans="2:33">
      <c r="B981" s="51" t="str">
        <f>B443</f>
        <v>Seasonal Purchased Power</v>
      </c>
      <c r="C981" s="58"/>
      <c r="E981" s="196"/>
      <c r="F981" s="196"/>
      <c r="G981" s="196"/>
      <c r="H981" s="196"/>
      <c r="I981" s="196"/>
      <c r="J981" s="196"/>
      <c r="K981" s="196"/>
      <c r="L981" s="196"/>
      <c r="M981" s="196"/>
      <c r="N981" s="196"/>
      <c r="O981" s="196"/>
      <c r="P981" s="196"/>
      <c r="Q981" s="196"/>
      <c r="AC981" s="54"/>
    </row>
    <row r="982" spans="2:33">
      <c r="B982" s="84"/>
      <c r="C982" s="58" t="s">
        <v>260</v>
      </c>
      <c r="E982" s="196">
        <f t="shared" ref="E982:Q983" si="285">IF(OR(E444=0,NOT($S444)),0,E114/E444)</f>
        <v>0</v>
      </c>
      <c r="F982" s="196">
        <f t="shared" si="285"/>
        <v>0</v>
      </c>
      <c r="G982" s="196">
        <f t="shared" si="285"/>
        <v>0</v>
      </c>
      <c r="H982" s="196">
        <f t="shared" si="285"/>
        <v>0</v>
      </c>
      <c r="I982" s="196">
        <f t="shared" si="285"/>
        <v>0</v>
      </c>
      <c r="J982" s="196">
        <f t="shared" si="285"/>
        <v>0</v>
      </c>
      <c r="K982" s="196">
        <f t="shared" si="285"/>
        <v>0</v>
      </c>
      <c r="L982" s="196">
        <f t="shared" si="285"/>
        <v>0</v>
      </c>
      <c r="M982" s="196">
        <f t="shared" si="285"/>
        <v>0</v>
      </c>
      <c r="N982" s="196">
        <f t="shared" si="285"/>
        <v>0</v>
      </c>
      <c r="O982" s="196">
        <f t="shared" si="285"/>
        <v>0</v>
      </c>
      <c r="P982" s="196">
        <f t="shared" si="285"/>
        <v>0</v>
      </c>
      <c r="Q982" s="196">
        <f t="shared" si="285"/>
        <v>0</v>
      </c>
      <c r="AC982" s="54"/>
      <c r="AG982" s="62">
        <f t="shared" ref="AG982:AG988" si="286">AG444</f>
        <v>0</v>
      </c>
    </row>
    <row r="983" spans="2:33" hidden="1">
      <c r="B983" s="84"/>
      <c r="C983" s="58">
        <v>0</v>
      </c>
      <c r="E983" s="196">
        <f t="shared" si="285"/>
        <v>0</v>
      </c>
      <c r="F983" s="196">
        <f t="shared" si="285"/>
        <v>0</v>
      </c>
      <c r="G983" s="196">
        <f t="shared" si="285"/>
        <v>0</v>
      </c>
      <c r="H983" s="196">
        <f t="shared" si="285"/>
        <v>0</v>
      </c>
      <c r="I983" s="196">
        <f t="shared" si="285"/>
        <v>0</v>
      </c>
      <c r="J983" s="196">
        <f t="shared" si="285"/>
        <v>0</v>
      </c>
      <c r="K983" s="196">
        <f t="shared" si="285"/>
        <v>0</v>
      </c>
      <c r="L983" s="196">
        <f t="shared" si="285"/>
        <v>0</v>
      </c>
      <c r="M983" s="196">
        <f t="shared" si="285"/>
        <v>0</v>
      </c>
      <c r="N983" s="196">
        <f t="shared" si="285"/>
        <v>0</v>
      </c>
      <c r="O983" s="196">
        <f t="shared" si="285"/>
        <v>0</v>
      </c>
      <c r="P983" s="196">
        <f t="shared" si="285"/>
        <v>0</v>
      </c>
      <c r="Q983" s="196">
        <f t="shared" si="285"/>
        <v>0</v>
      </c>
      <c r="AC983" s="54"/>
      <c r="AG983" s="62" t="str">
        <f t="shared" si="286"/>
        <v>Hide Row</v>
      </c>
    </row>
    <row r="984" spans="2:33" hidden="1">
      <c r="B984" s="84"/>
      <c r="C984" s="58"/>
      <c r="E984" s="196"/>
      <c r="F984" s="196"/>
      <c r="G984" s="196"/>
      <c r="H984" s="196"/>
      <c r="I984" s="196"/>
      <c r="J984" s="196"/>
      <c r="K984" s="196"/>
      <c r="L984" s="196"/>
      <c r="M984" s="196"/>
      <c r="N984" s="196"/>
      <c r="O984" s="196"/>
      <c r="P984" s="196"/>
      <c r="Q984" s="196"/>
      <c r="AC984" s="54"/>
      <c r="AG984" s="62" t="str">
        <f t="shared" si="286"/>
        <v>Hide Row</v>
      </c>
    </row>
    <row r="985" spans="2:33" hidden="1">
      <c r="B985" s="84"/>
      <c r="C985" s="58"/>
      <c r="E985" s="196"/>
      <c r="F985" s="196"/>
      <c r="G985" s="196"/>
      <c r="H985" s="196"/>
      <c r="I985" s="196"/>
      <c r="J985" s="196"/>
      <c r="K985" s="196"/>
      <c r="L985" s="196"/>
      <c r="M985" s="196"/>
      <c r="N985" s="196"/>
      <c r="O985" s="196"/>
      <c r="P985" s="196"/>
      <c r="Q985" s="196"/>
      <c r="AC985" s="54"/>
      <c r="AG985" s="62" t="str">
        <f t="shared" si="286"/>
        <v>Hide Row</v>
      </c>
    </row>
    <row r="986" spans="2:33" hidden="1">
      <c r="B986" s="84"/>
      <c r="C986" s="58"/>
      <c r="E986" s="196"/>
      <c r="F986" s="196"/>
      <c r="G986" s="196"/>
      <c r="H986" s="196"/>
      <c r="I986" s="196"/>
      <c r="J986" s="196"/>
      <c r="K986" s="196"/>
      <c r="L986" s="196"/>
      <c r="M986" s="196"/>
      <c r="N986" s="196"/>
      <c r="O986" s="196"/>
      <c r="P986" s="196"/>
      <c r="Q986" s="196"/>
      <c r="AC986" s="54"/>
      <c r="AG986" s="62" t="str">
        <f t="shared" si="286"/>
        <v>Hide Row</v>
      </c>
    </row>
    <row r="987" spans="2:33" hidden="1">
      <c r="B987" s="84"/>
      <c r="C987" s="58">
        <v>0</v>
      </c>
      <c r="E987" s="196">
        <f t="shared" ref="E987:Q988" si="287">IF(OR(E449=0,NOT($S449)),0,E119/E449)</f>
        <v>0</v>
      </c>
      <c r="F987" s="196">
        <f t="shared" si="287"/>
        <v>0</v>
      </c>
      <c r="G987" s="196">
        <f t="shared" si="287"/>
        <v>0</v>
      </c>
      <c r="H987" s="196">
        <f t="shared" si="287"/>
        <v>0</v>
      </c>
      <c r="I987" s="196">
        <f t="shared" si="287"/>
        <v>0</v>
      </c>
      <c r="J987" s="196">
        <f t="shared" si="287"/>
        <v>0</v>
      </c>
      <c r="K987" s="196">
        <f t="shared" si="287"/>
        <v>0</v>
      </c>
      <c r="L987" s="196">
        <f t="shared" si="287"/>
        <v>0</v>
      </c>
      <c r="M987" s="196">
        <f t="shared" si="287"/>
        <v>0</v>
      </c>
      <c r="N987" s="196">
        <f t="shared" si="287"/>
        <v>0</v>
      </c>
      <c r="O987" s="196">
        <f t="shared" si="287"/>
        <v>0</v>
      </c>
      <c r="P987" s="196">
        <f t="shared" si="287"/>
        <v>0</v>
      </c>
      <c r="Q987" s="196">
        <f t="shared" si="287"/>
        <v>0</v>
      </c>
      <c r="AC987" s="54"/>
      <c r="AG987" s="62" t="str">
        <f t="shared" si="286"/>
        <v>Hide Row</v>
      </c>
    </row>
    <row r="988" spans="2:33" hidden="1">
      <c r="B988" s="84"/>
      <c r="C988" s="58">
        <v>0</v>
      </c>
      <c r="E988" s="196">
        <f t="shared" si="287"/>
        <v>0</v>
      </c>
      <c r="F988" s="196">
        <f t="shared" si="287"/>
        <v>0</v>
      </c>
      <c r="G988" s="196">
        <f t="shared" si="287"/>
        <v>0</v>
      </c>
      <c r="H988" s="196">
        <f t="shared" si="287"/>
        <v>0</v>
      </c>
      <c r="I988" s="196">
        <f t="shared" si="287"/>
        <v>0</v>
      </c>
      <c r="J988" s="196">
        <f t="shared" si="287"/>
        <v>0</v>
      </c>
      <c r="K988" s="196">
        <f t="shared" si="287"/>
        <v>0</v>
      </c>
      <c r="L988" s="196">
        <f t="shared" si="287"/>
        <v>0</v>
      </c>
      <c r="M988" s="196">
        <f t="shared" si="287"/>
        <v>0</v>
      </c>
      <c r="N988" s="196">
        <f t="shared" si="287"/>
        <v>0</v>
      </c>
      <c r="O988" s="196">
        <f t="shared" si="287"/>
        <v>0</v>
      </c>
      <c r="P988" s="196">
        <f t="shared" si="287"/>
        <v>0</v>
      </c>
      <c r="Q988" s="196">
        <f t="shared" si="287"/>
        <v>0</v>
      </c>
      <c r="AC988" s="54"/>
      <c r="AG988" s="62" t="str">
        <f t="shared" si="286"/>
        <v>Hide Row</v>
      </c>
    </row>
    <row r="989" spans="2:33">
      <c r="B989" s="84"/>
      <c r="C989" s="58"/>
      <c r="E989" s="196"/>
      <c r="F989" s="196"/>
      <c r="G989" s="196"/>
      <c r="H989" s="196"/>
      <c r="I989" s="196"/>
      <c r="J989" s="196"/>
      <c r="K989" s="196"/>
      <c r="L989" s="196"/>
      <c r="M989" s="196"/>
      <c r="N989" s="196"/>
      <c r="O989" s="196"/>
      <c r="P989" s="196"/>
      <c r="Q989" s="196"/>
      <c r="AC989" s="54"/>
    </row>
    <row r="990" spans="2:33">
      <c r="B990" s="51" t="str">
        <f>B452</f>
        <v>Seasonal Purchased Power Total</v>
      </c>
      <c r="C990" s="58"/>
      <c r="E990" s="196">
        <f t="shared" ref="E990:Q990" si="288">IF((E452=0),0,E122/E452)</f>
        <v>0</v>
      </c>
      <c r="F990" s="196">
        <f t="shared" si="288"/>
        <v>0</v>
      </c>
      <c r="G990" s="196">
        <f t="shared" si="288"/>
        <v>0</v>
      </c>
      <c r="H990" s="196">
        <f t="shared" si="288"/>
        <v>0</v>
      </c>
      <c r="I990" s="196">
        <f t="shared" si="288"/>
        <v>0</v>
      </c>
      <c r="J990" s="196">
        <f t="shared" si="288"/>
        <v>0</v>
      </c>
      <c r="K990" s="196">
        <f t="shared" si="288"/>
        <v>0</v>
      </c>
      <c r="L990" s="196">
        <f t="shared" si="288"/>
        <v>0</v>
      </c>
      <c r="M990" s="196">
        <f t="shared" si="288"/>
        <v>0</v>
      </c>
      <c r="N990" s="196">
        <f t="shared" si="288"/>
        <v>0</v>
      </c>
      <c r="O990" s="196">
        <f t="shared" si="288"/>
        <v>0</v>
      </c>
      <c r="P990" s="196">
        <f t="shared" si="288"/>
        <v>0</v>
      </c>
      <c r="Q990" s="196">
        <f t="shared" si="288"/>
        <v>0</v>
      </c>
      <c r="AC990" s="54"/>
    </row>
    <row r="991" spans="2:33">
      <c r="B991" s="88"/>
      <c r="C991" s="58"/>
      <c r="E991" s="196"/>
      <c r="F991" s="196"/>
      <c r="G991" s="196"/>
      <c r="H991" s="196"/>
      <c r="I991" s="196"/>
      <c r="J991" s="196"/>
      <c r="K991" s="196"/>
      <c r="L991" s="196"/>
      <c r="M991" s="196"/>
      <c r="N991" s="196"/>
      <c r="O991" s="196"/>
      <c r="P991" s="196"/>
      <c r="Q991" s="196"/>
      <c r="AC991" s="54"/>
    </row>
    <row r="992" spans="2:33">
      <c r="B992" s="51" t="str">
        <f>B454</f>
        <v>Qualifying Facilities</v>
      </c>
      <c r="C992" s="58"/>
      <c r="E992" s="196"/>
      <c r="F992" s="196"/>
      <c r="G992" s="196"/>
      <c r="H992" s="196"/>
      <c r="I992" s="196"/>
      <c r="J992" s="196"/>
      <c r="K992" s="196"/>
      <c r="L992" s="196"/>
      <c r="M992" s="196"/>
      <c r="N992" s="196"/>
      <c r="O992" s="196"/>
      <c r="P992" s="196"/>
      <c r="Q992" s="196"/>
      <c r="AC992" s="54"/>
    </row>
    <row r="993" spans="3:33">
      <c r="C993" s="58" t="s">
        <v>263</v>
      </c>
      <c r="E993" s="199">
        <f t="shared" ref="E993:Q1008" si="289">IF(OR(E455=0,NOT($S455)),0,E125/E455)</f>
        <v>0</v>
      </c>
      <c r="F993" s="199">
        <f t="shared" si="289"/>
        <v>0</v>
      </c>
      <c r="G993" s="199">
        <f t="shared" si="289"/>
        <v>0</v>
      </c>
      <c r="H993" s="199">
        <f t="shared" si="289"/>
        <v>0</v>
      </c>
      <c r="I993" s="199">
        <f t="shared" si="289"/>
        <v>0</v>
      </c>
      <c r="J993" s="199">
        <f t="shared" si="289"/>
        <v>0</v>
      </c>
      <c r="K993" s="199">
        <f t="shared" si="289"/>
        <v>0</v>
      </c>
      <c r="L993" s="199">
        <f t="shared" si="289"/>
        <v>0</v>
      </c>
      <c r="M993" s="199">
        <f t="shared" si="289"/>
        <v>0</v>
      </c>
      <c r="N993" s="199">
        <f t="shared" si="289"/>
        <v>0</v>
      </c>
      <c r="O993" s="199">
        <f t="shared" si="289"/>
        <v>0</v>
      </c>
      <c r="P993" s="199">
        <f t="shared" si="289"/>
        <v>0</v>
      </c>
      <c r="Q993" s="199">
        <f t="shared" si="289"/>
        <v>0</v>
      </c>
      <c r="AC993" s="54"/>
      <c r="AG993" s="62" t="str">
        <f t="shared" ref="AG993:AG1010" si="290">AG455</f>
        <v>Hide Row</v>
      </c>
    </row>
    <row r="994" spans="3:33">
      <c r="C994" s="58" t="s">
        <v>269</v>
      </c>
      <c r="E994" s="199">
        <f t="shared" si="289"/>
        <v>0</v>
      </c>
      <c r="F994" s="199">
        <f t="shared" si="289"/>
        <v>0</v>
      </c>
      <c r="G994" s="199">
        <f t="shared" si="289"/>
        <v>0</v>
      </c>
      <c r="H994" s="199">
        <f t="shared" si="289"/>
        <v>0</v>
      </c>
      <c r="I994" s="199">
        <f t="shared" si="289"/>
        <v>0</v>
      </c>
      <c r="J994" s="199">
        <f t="shared" si="289"/>
        <v>0</v>
      </c>
      <c r="K994" s="199">
        <f t="shared" si="289"/>
        <v>0</v>
      </c>
      <c r="L994" s="199">
        <f t="shared" si="289"/>
        <v>0</v>
      </c>
      <c r="M994" s="199">
        <f t="shared" si="289"/>
        <v>0</v>
      </c>
      <c r="N994" s="199">
        <f t="shared" si="289"/>
        <v>0</v>
      </c>
      <c r="O994" s="199">
        <f t="shared" si="289"/>
        <v>0</v>
      </c>
      <c r="P994" s="199">
        <f t="shared" si="289"/>
        <v>0</v>
      </c>
      <c r="Q994" s="199">
        <f t="shared" si="289"/>
        <v>0</v>
      </c>
      <c r="AC994" s="54"/>
      <c r="AG994" s="62" t="str">
        <f t="shared" si="290"/>
        <v>Hide Row</v>
      </c>
    </row>
    <row r="995" spans="3:33">
      <c r="C995" s="58" t="s">
        <v>275</v>
      </c>
      <c r="E995" s="199">
        <f t="shared" si="289"/>
        <v>0</v>
      </c>
      <c r="F995" s="199">
        <f t="shared" si="289"/>
        <v>0</v>
      </c>
      <c r="G995" s="199">
        <f t="shared" si="289"/>
        <v>0</v>
      </c>
      <c r="H995" s="199">
        <f t="shared" si="289"/>
        <v>0</v>
      </c>
      <c r="I995" s="199">
        <f t="shared" si="289"/>
        <v>0</v>
      </c>
      <c r="J995" s="199">
        <f t="shared" si="289"/>
        <v>0</v>
      </c>
      <c r="K995" s="199">
        <f t="shared" si="289"/>
        <v>0</v>
      </c>
      <c r="L995" s="199">
        <f t="shared" si="289"/>
        <v>0</v>
      </c>
      <c r="M995" s="199">
        <f t="shared" si="289"/>
        <v>0</v>
      </c>
      <c r="N995" s="199">
        <f t="shared" si="289"/>
        <v>0</v>
      </c>
      <c r="O995" s="199">
        <f t="shared" si="289"/>
        <v>0</v>
      </c>
      <c r="P995" s="199">
        <f t="shared" si="289"/>
        <v>0</v>
      </c>
      <c r="Q995" s="199">
        <f t="shared" si="289"/>
        <v>0</v>
      </c>
      <c r="AC995" s="54"/>
      <c r="AG995" s="62" t="str">
        <f t="shared" si="290"/>
        <v>Hide Row</v>
      </c>
    </row>
    <row r="996" spans="3:33">
      <c r="C996" s="58" t="s">
        <v>281</v>
      </c>
      <c r="E996" s="199">
        <f t="shared" si="289"/>
        <v>0</v>
      </c>
      <c r="F996" s="199">
        <f t="shared" si="289"/>
        <v>0</v>
      </c>
      <c r="G996" s="199">
        <f t="shared" si="289"/>
        <v>0</v>
      </c>
      <c r="H996" s="199">
        <f t="shared" si="289"/>
        <v>0</v>
      </c>
      <c r="I996" s="199">
        <f t="shared" si="289"/>
        <v>0</v>
      </c>
      <c r="J996" s="199">
        <f t="shared" si="289"/>
        <v>0</v>
      </c>
      <c r="K996" s="199">
        <f t="shared" si="289"/>
        <v>0</v>
      </c>
      <c r="L996" s="199">
        <f t="shared" si="289"/>
        <v>0</v>
      </c>
      <c r="M996" s="199">
        <f t="shared" si="289"/>
        <v>0</v>
      </c>
      <c r="N996" s="199">
        <f t="shared" si="289"/>
        <v>0</v>
      </c>
      <c r="O996" s="199">
        <f t="shared" si="289"/>
        <v>0</v>
      </c>
      <c r="P996" s="199">
        <f t="shared" si="289"/>
        <v>0</v>
      </c>
      <c r="Q996" s="199">
        <f t="shared" si="289"/>
        <v>0</v>
      </c>
      <c r="AC996" s="54"/>
      <c r="AG996" s="62" t="str">
        <f t="shared" si="290"/>
        <v>Hide Row</v>
      </c>
    </row>
    <row r="997" spans="3:33">
      <c r="C997" s="58" t="s">
        <v>287</v>
      </c>
      <c r="E997" s="199">
        <f t="shared" si="289"/>
        <v>36.473673585448736</v>
      </c>
      <c r="F997" s="199">
        <f t="shared" si="289"/>
        <v>35.604260924865997</v>
      </c>
      <c r="G997" s="199">
        <f t="shared" si="289"/>
        <v>36.192135905617334</v>
      </c>
      <c r="H997" s="199">
        <f t="shared" si="289"/>
        <v>36.56425818882466</v>
      </c>
      <c r="I997" s="199">
        <f t="shared" si="289"/>
        <v>36.726349354317406</v>
      </c>
      <c r="J997" s="199">
        <f t="shared" si="289"/>
        <v>36.760841798847501</v>
      </c>
      <c r="K997" s="199">
        <f t="shared" si="289"/>
        <v>36.654380157359427</v>
      </c>
      <c r="L997" s="199">
        <f t="shared" si="289"/>
        <v>36.090255430344712</v>
      </c>
      <c r="M997" s="199">
        <f t="shared" si="289"/>
        <v>35.330957861849576</v>
      </c>
      <c r="N997" s="199">
        <f t="shared" si="289"/>
        <v>35.330958955692232</v>
      </c>
      <c r="O997" s="199">
        <f t="shared" si="289"/>
        <v>37.13575399564872</v>
      </c>
      <c r="P997" s="199">
        <f t="shared" si="289"/>
        <v>37.135750049829738</v>
      </c>
      <c r="Q997" s="199">
        <f t="shared" si="289"/>
        <v>37.135757600689246</v>
      </c>
      <c r="AC997" s="54"/>
      <c r="AG997" s="62" t="str">
        <f t="shared" si="290"/>
        <v/>
      </c>
    </row>
    <row r="998" spans="3:33">
      <c r="C998" s="58" t="s">
        <v>293</v>
      </c>
      <c r="E998" s="199">
        <f t="shared" si="289"/>
        <v>0</v>
      </c>
      <c r="F998" s="199">
        <f t="shared" si="289"/>
        <v>0</v>
      </c>
      <c r="G998" s="199">
        <f t="shared" si="289"/>
        <v>0</v>
      </c>
      <c r="H998" s="199">
        <f t="shared" si="289"/>
        <v>0</v>
      </c>
      <c r="I998" s="199">
        <f t="shared" si="289"/>
        <v>0</v>
      </c>
      <c r="J998" s="199">
        <f t="shared" si="289"/>
        <v>0</v>
      </c>
      <c r="K998" s="199">
        <f t="shared" si="289"/>
        <v>0</v>
      </c>
      <c r="L998" s="199">
        <f t="shared" si="289"/>
        <v>0</v>
      </c>
      <c r="M998" s="199">
        <f t="shared" si="289"/>
        <v>0</v>
      </c>
      <c r="N998" s="199">
        <f t="shared" si="289"/>
        <v>0</v>
      </c>
      <c r="O998" s="199">
        <f t="shared" si="289"/>
        <v>0</v>
      </c>
      <c r="P998" s="199">
        <f t="shared" si="289"/>
        <v>0</v>
      </c>
      <c r="Q998" s="199">
        <f t="shared" si="289"/>
        <v>0</v>
      </c>
      <c r="AC998" s="54"/>
      <c r="AG998" s="62" t="str">
        <f t="shared" si="290"/>
        <v>Hide Row</v>
      </c>
    </row>
    <row r="999" spans="3:33">
      <c r="C999" s="58" t="s">
        <v>299</v>
      </c>
      <c r="E999" s="199">
        <f t="shared" si="289"/>
        <v>0</v>
      </c>
      <c r="F999" s="199">
        <f t="shared" si="289"/>
        <v>0</v>
      </c>
      <c r="G999" s="199">
        <f t="shared" si="289"/>
        <v>0</v>
      </c>
      <c r="H999" s="199">
        <f t="shared" si="289"/>
        <v>0</v>
      </c>
      <c r="I999" s="199">
        <f t="shared" si="289"/>
        <v>0</v>
      </c>
      <c r="J999" s="199">
        <f t="shared" si="289"/>
        <v>0</v>
      </c>
      <c r="K999" s="199">
        <f t="shared" si="289"/>
        <v>0</v>
      </c>
      <c r="L999" s="199">
        <f t="shared" si="289"/>
        <v>0</v>
      </c>
      <c r="M999" s="199">
        <f t="shared" si="289"/>
        <v>0</v>
      </c>
      <c r="N999" s="199">
        <f t="shared" si="289"/>
        <v>0</v>
      </c>
      <c r="O999" s="199">
        <f t="shared" si="289"/>
        <v>0</v>
      </c>
      <c r="P999" s="199">
        <f t="shared" si="289"/>
        <v>0</v>
      </c>
      <c r="Q999" s="199">
        <f t="shared" si="289"/>
        <v>0</v>
      </c>
      <c r="AC999" s="54"/>
      <c r="AG999" s="62" t="str">
        <f t="shared" si="290"/>
        <v>Hide Row</v>
      </c>
    </row>
    <row r="1000" spans="3:33">
      <c r="C1000" s="58" t="s">
        <v>302</v>
      </c>
      <c r="E1000" s="199">
        <f t="shared" si="289"/>
        <v>0</v>
      </c>
      <c r="F1000" s="199">
        <f t="shared" si="289"/>
        <v>0</v>
      </c>
      <c r="G1000" s="199">
        <f t="shared" si="289"/>
        <v>0</v>
      </c>
      <c r="H1000" s="199">
        <f t="shared" si="289"/>
        <v>0</v>
      </c>
      <c r="I1000" s="199">
        <f t="shared" si="289"/>
        <v>0</v>
      </c>
      <c r="J1000" s="199">
        <f t="shared" si="289"/>
        <v>0</v>
      </c>
      <c r="K1000" s="199">
        <f t="shared" si="289"/>
        <v>0</v>
      </c>
      <c r="L1000" s="199">
        <f t="shared" si="289"/>
        <v>0</v>
      </c>
      <c r="M1000" s="199">
        <f t="shared" si="289"/>
        <v>0</v>
      </c>
      <c r="N1000" s="199">
        <f t="shared" si="289"/>
        <v>0</v>
      </c>
      <c r="O1000" s="199">
        <f t="shared" si="289"/>
        <v>0</v>
      </c>
      <c r="P1000" s="199">
        <f t="shared" si="289"/>
        <v>0</v>
      </c>
      <c r="Q1000" s="199">
        <f t="shared" si="289"/>
        <v>0</v>
      </c>
      <c r="AC1000" s="54"/>
      <c r="AG1000" s="62" t="str">
        <f t="shared" si="290"/>
        <v>Hide Row</v>
      </c>
    </row>
    <row r="1001" spans="3:33">
      <c r="C1001" s="58" t="s">
        <v>307</v>
      </c>
      <c r="E1001" s="199">
        <f t="shared" si="289"/>
        <v>0</v>
      </c>
      <c r="F1001" s="199">
        <f t="shared" si="289"/>
        <v>0</v>
      </c>
      <c r="G1001" s="199">
        <f t="shared" si="289"/>
        <v>0</v>
      </c>
      <c r="H1001" s="199">
        <f t="shared" si="289"/>
        <v>0</v>
      </c>
      <c r="I1001" s="199">
        <f t="shared" si="289"/>
        <v>0</v>
      </c>
      <c r="J1001" s="199">
        <f t="shared" si="289"/>
        <v>0</v>
      </c>
      <c r="K1001" s="199">
        <f t="shared" si="289"/>
        <v>0</v>
      </c>
      <c r="L1001" s="199">
        <f t="shared" si="289"/>
        <v>0</v>
      </c>
      <c r="M1001" s="199">
        <f t="shared" si="289"/>
        <v>0</v>
      </c>
      <c r="N1001" s="199">
        <f t="shared" si="289"/>
        <v>0</v>
      </c>
      <c r="O1001" s="199">
        <f t="shared" si="289"/>
        <v>0</v>
      </c>
      <c r="P1001" s="199">
        <f t="shared" si="289"/>
        <v>0</v>
      </c>
      <c r="Q1001" s="199">
        <f t="shared" si="289"/>
        <v>0</v>
      </c>
      <c r="AC1001" s="54"/>
      <c r="AG1001" s="62" t="str">
        <f t="shared" si="290"/>
        <v>Hide Row</v>
      </c>
    </row>
    <row r="1002" spans="3:33">
      <c r="C1002" s="58" t="s">
        <v>308</v>
      </c>
      <c r="E1002" s="199">
        <f t="shared" si="289"/>
        <v>0</v>
      </c>
      <c r="F1002" s="199">
        <f t="shared" si="289"/>
        <v>0</v>
      </c>
      <c r="G1002" s="199">
        <f t="shared" si="289"/>
        <v>0</v>
      </c>
      <c r="H1002" s="199">
        <f t="shared" si="289"/>
        <v>0</v>
      </c>
      <c r="I1002" s="199">
        <f t="shared" si="289"/>
        <v>0</v>
      </c>
      <c r="J1002" s="199">
        <f t="shared" si="289"/>
        <v>0</v>
      </c>
      <c r="K1002" s="199">
        <f t="shared" si="289"/>
        <v>0</v>
      </c>
      <c r="L1002" s="199">
        <f t="shared" si="289"/>
        <v>0</v>
      </c>
      <c r="M1002" s="199">
        <f t="shared" si="289"/>
        <v>0</v>
      </c>
      <c r="N1002" s="199">
        <f t="shared" si="289"/>
        <v>0</v>
      </c>
      <c r="O1002" s="199">
        <f t="shared" si="289"/>
        <v>0</v>
      </c>
      <c r="P1002" s="199">
        <f t="shared" si="289"/>
        <v>0</v>
      </c>
      <c r="Q1002" s="199">
        <f t="shared" si="289"/>
        <v>0</v>
      </c>
      <c r="AC1002" s="54"/>
      <c r="AG1002" s="62" t="str">
        <f t="shared" si="290"/>
        <v>Hide Row</v>
      </c>
    </row>
    <row r="1003" spans="3:33">
      <c r="C1003" s="58" t="s">
        <v>310</v>
      </c>
      <c r="E1003" s="199">
        <f t="shared" si="289"/>
        <v>0</v>
      </c>
      <c r="F1003" s="199">
        <f t="shared" si="289"/>
        <v>0</v>
      </c>
      <c r="G1003" s="199">
        <f t="shared" si="289"/>
        <v>0</v>
      </c>
      <c r="H1003" s="199">
        <f t="shared" si="289"/>
        <v>0</v>
      </c>
      <c r="I1003" s="199">
        <f t="shared" si="289"/>
        <v>0</v>
      </c>
      <c r="J1003" s="199">
        <f t="shared" si="289"/>
        <v>0</v>
      </c>
      <c r="K1003" s="199">
        <f t="shared" si="289"/>
        <v>0</v>
      </c>
      <c r="L1003" s="199">
        <f t="shared" si="289"/>
        <v>0</v>
      </c>
      <c r="M1003" s="199">
        <f t="shared" si="289"/>
        <v>0</v>
      </c>
      <c r="N1003" s="199">
        <f t="shared" si="289"/>
        <v>0</v>
      </c>
      <c r="O1003" s="199">
        <f t="shared" si="289"/>
        <v>0</v>
      </c>
      <c r="P1003" s="199">
        <f t="shared" si="289"/>
        <v>0</v>
      </c>
      <c r="Q1003" s="199">
        <f t="shared" si="289"/>
        <v>0</v>
      </c>
      <c r="AC1003" s="54"/>
      <c r="AG1003" s="62" t="str">
        <f t="shared" si="290"/>
        <v>Hide Row</v>
      </c>
    </row>
    <row r="1004" spans="3:33">
      <c r="C1004" s="58" t="s">
        <v>312</v>
      </c>
      <c r="E1004" s="199">
        <f t="shared" si="289"/>
        <v>0</v>
      </c>
      <c r="F1004" s="199">
        <f t="shared" si="289"/>
        <v>0</v>
      </c>
      <c r="G1004" s="199">
        <f t="shared" si="289"/>
        <v>0</v>
      </c>
      <c r="H1004" s="199">
        <f t="shared" si="289"/>
        <v>0</v>
      </c>
      <c r="I1004" s="199">
        <f t="shared" si="289"/>
        <v>0</v>
      </c>
      <c r="J1004" s="199">
        <f t="shared" si="289"/>
        <v>0</v>
      </c>
      <c r="K1004" s="199">
        <f t="shared" si="289"/>
        <v>0</v>
      </c>
      <c r="L1004" s="199">
        <f t="shared" si="289"/>
        <v>0</v>
      </c>
      <c r="M1004" s="199">
        <f t="shared" si="289"/>
        <v>0</v>
      </c>
      <c r="N1004" s="199">
        <f t="shared" si="289"/>
        <v>0</v>
      </c>
      <c r="O1004" s="199">
        <f t="shared" si="289"/>
        <v>0</v>
      </c>
      <c r="P1004" s="199">
        <f t="shared" si="289"/>
        <v>0</v>
      </c>
      <c r="Q1004" s="199">
        <f t="shared" si="289"/>
        <v>0</v>
      </c>
      <c r="AC1004" s="54"/>
      <c r="AG1004" s="62" t="str">
        <f t="shared" si="290"/>
        <v>Hide Row</v>
      </c>
    </row>
    <row r="1005" spans="3:33" hidden="1">
      <c r="C1005" s="58" t="s">
        <v>314</v>
      </c>
      <c r="E1005" s="199">
        <f t="shared" si="289"/>
        <v>0</v>
      </c>
      <c r="F1005" s="199">
        <f t="shared" si="289"/>
        <v>0</v>
      </c>
      <c r="G1005" s="199">
        <f t="shared" si="289"/>
        <v>0</v>
      </c>
      <c r="H1005" s="199">
        <f t="shared" si="289"/>
        <v>0</v>
      </c>
      <c r="I1005" s="199">
        <f t="shared" si="289"/>
        <v>0</v>
      </c>
      <c r="J1005" s="199">
        <f t="shared" si="289"/>
        <v>0</v>
      </c>
      <c r="K1005" s="199">
        <f t="shared" si="289"/>
        <v>0</v>
      </c>
      <c r="L1005" s="199">
        <f t="shared" si="289"/>
        <v>0</v>
      </c>
      <c r="M1005" s="199">
        <f t="shared" si="289"/>
        <v>0</v>
      </c>
      <c r="N1005" s="199">
        <f t="shared" si="289"/>
        <v>0</v>
      </c>
      <c r="O1005" s="199">
        <f t="shared" si="289"/>
        <v>0</v>
      </c>
      <c r="P1005" s="199">
        <f t="shared" si="289"/>
        <v>0</v>
      </c>
      <c r="Q1005" s="199">
        <f t="shared" si="289"/>
        <v>0</v>
      </c>
      <c r="AC1005" s="54"/>
      <c r="AG1005" s="62" t="str">
        <f t="shared" si="290"/>
        <v>Hide Row</v>
      </c>
    </row>
    <row r="1006" spans="3:33">
      <c r="C1006" s="58" t="s">
        <v>316</v>
      </c>
      <c r="E1006" s="199">
        <f t="shared" si="289"/>
        <v>0</v>
      </c>
      <c r="F1006" s="199">
        <f t="shared" si="289"/>
        <v>0</v>
      </c>
      <c r="G1006" s="199">
        <f t="shared" si="289"/>
        <v>0</v>
      </c>
      <c r="H1006" s="199">
        <f t="shared" si="289"/>
        <v>0</v>
      </c>
      <c r="I1006" s="199">
        <f t="shared" si="289"/>
        <v>0</v>
      </c>
      <c r="J1006" s="199">
        <f t="shared" si="289"/>
        <v>0</v>
      </c>
      <c r="K1006" s="199">
        <f t="shared" si="289"/>
        <v>0</v>
      </c>
      <c r="L1006" s="199">
        <f t="shared" si="289"/>
        <v>0</v>
      </c>
      <c r="M1006" s="199">
        <f t="shared" si="289"/>
        <v>0</v>
      </c>
      <c r="N1006" s="199">
        <f t="shared" si="289"/>
        <v>0</v>
      </c>
      <c r="O1006" s="199">
        <f t="shared" si="289"/>
        <v>0</v>
      </c>
      <c r="P1006" s="199">
        <f t="shared" si="289"/>
        <v>0</v>
      </c>
      <c r="Q1006" s="199">
        <f t="shared" si="289"/>
        <v>0</v>
      </c>
      <c r="AC1006" s="54"/>
      <c r="AG1006" s="62" t="str">
        <f t="shared" si="290"/>
        <v>Hide Row</v>
      </c>
    </row>
    <row r="1007" spans="3:33" hidden="1">
      <c r="C1007" s="58" t="s">
        <v>318</v>
      </c>
      <c r="E1007" s="199">
        <f t="shared" si="289"/>
        <v>0</v>
      </c>
      <c r="F1007" s="199">
        <f t="shared" si="289"/>
        <v>0</v>
      </c>
      <c r="G1007" s="199">
        <f t="shared" si="289"/>
        <v>0</v>
      </c>
      <c r="H1007" s="199">
        <f t="shared" si="289"/>
        <v>0</v>
      </c>
      <c r="I1007" s="199">
        <f t="shared" si="289"/>
        <v>0</v>
      </c>
      <c r="J1007" s="199">
        <f t="shared" si="289"/>
        <v>0</v>
      </c>
      <c r="K1007" s="199">
        <f t="shared" si="289"/>
        <v>0</v>
      </c>
      <c r="L1007" s="199">
        <f t="shared" si="289"/>
        <v>0</v>
      </c>
      <c r="M1007" s="199">
        <f t="shared" si="289"/>
        <v>0</v>
      </c>
      <c r="N1007" s="199">
        <f t="shared" si="289"/>
        <v>0</v>
      </c>
      <c r="O1007" s="199">
        <f t="shared" si="289"/>
        <v>0</v>
      </c>
      <c r="P1007" s="199">
        <f t="shared" si="289"/>
        <v>0</v>
      </c>
      <c r="Q1007" s="199">
        <f t="shared" si="289"/>
        <v>0</v>
      </c>
      <c r="AC1007" s="54"/>
      <c r="AG1007" s="62" t="str">
        <f t="shared" si="290"/>
        <v>Hide Row</v>
      </c>
    </row>
    <row r="1008" spans="3:33">
      <c r="C1008" s="58" t="s">
        <v>320</v>
      </c>
      <c r="E1008" s="199">
        <f t="shared" si="289"/>
        <v>0</v>
      </c>
      <c r="F1008" s="199">
        <f t="shared" si="289"/>
        <v>0</v>
      </c>
      <c r="G1008" s="199">
        <f t="shared" si="289"/>
        <v>0</v>
      </c>
      <c r="H1008" s="199">
        <f t="shared" si="289"/>
        <v>0</v>
      </c>
      <c r="I1008" s="199">
        <f t="shared" si="289"/>
        <v>0</v>
      </c>
      <c r="J1008" s="199">
        <f t="shared" si="289"/>
        <v>0</v>
      </c>
      <c r="K1008" s="199">
        <f t="shared" si="289"/>
        <v>0</v>
      </c>
      <c r="L1008" s="199">
        <f t="shared" si="289"/>
        <v>0</v>
      </c>
      <c r="M1008" s="199">
        <f t="shared" si="289"/>
        <v>0</v>
      </c>
      <c r="N1008" s="199">
        <f t="shared" si="289"/>
        <v>0</v>
      </c>
      <c r="O1008" s="199">
        <f t="shared" si="289"/>
        <v>0</v>
      </c>
      <c r="P1008" s="199">
        <f t="shared" si="289"/>
        <v>0</v>
      </c>
      <c r="Q1008" s="199">
        <f t="shared" si="289"/>
        <v>0</v>
      </c>
      <c r="AC1008" s="54"/>
      <c r="AG1008" s="62" t="str">
        <f t="shared" si="290"/>
        <v>Hide Row</v>
      </c>
    </row>
    <row r="1009" spans="3:33">
      <c r="C1009" s="58" t="s">
        <v>321</v>
      </c>
      <c r="E1009" s="199">
        <f t="shared" ref="E1009:Q1024" si="291">IF(OR(E471=0,NOT($S471)),0,E141/E471)</f>
        <v>0</v>
      </c>
      <c r="F1009" s="199">
        <f t="shared" si="291"/>
        <v>0</v>
      </c>
      <c r="G1009" s="199">
        <f t="shared" si="291"/>
        <v>0</v>
      </c>
      <c r="H1009" s="199">
        <f t="shared" si="291"/>
        <v>0</v>
      </c>
      <c r="I1009" s="199">
        <f t="shared" si="291"/>
        <v>0</v>
      </c>
      <c r="J1009" s="199">
        <f t="shared" si="291"/>
        <v>0</v>
      </c>
      <c r="K1009" s="199">
        <f t="shared" si="291"/>
        <v>0</v>
      </c>
      <c r="L1009" s="199">
        <f t="shared" si="291"/>
        <v>0</v>
      </c>
      <c r="M1009" s="199">
        <f t="shared" si="291"/>
        <v>0</v>
      </c>
      <c r="N1009" s="199">
        <f t="shared" si="291"/>
        <v>0</v>
      </c>
      <c r="O1009" s="199">
        <f t="shared" si="291"/>
        <v>0</v>
      </c>
      <c r="P1009" s="199">
        <f t="shared" si="291"/>
        <v>0</v>
      </c>
      <c r="Q1009" s="199">
        <f t="shared" si="291"/>
        <v>0</v>
      </c>
      <c r="AC1009" s="54"/>
      <c r="AG1009" s="62" t="str">
        <f t="shared" si="290"/>
        <v>Hide Row</v>
      </c>
    </row>
    <row r="1010" spans="3:33">
      <c r="C1010" s="58" t="s">
        <v>322</v>
      </c>
      <c r="E1010" s="199">
        <f t="shared" si="291"/>
        <v>0</v>
      </c>
      <c r="F1010" s="199">
        <f t="shared" si="291"/>
        <v>0</v>
      </c>
      <c r="G1010" s="199">
        <f t="shared" si="291"/>
        <v>0</v>
      </c>
      <c r="H1010" s="199">
        <f t="shared" si="291"/>
        <v>0</v>
      </c>
      <c r="I1010" s="199">
        <f t="shared" si="291"/>
        <v>0</v>
      </c>
      <c r="J1010" s="199">
        <f t="shared" si="291"/>
        <v>0</v>
      </c>
      <c r="K1010" s="199">
        <f t="shared" si="291"/>
        <v>0</v>
      </c>
      <c r="L1010" s="199">
        <f t="shared" si="291"/>
        <v>0</v>
      </c>
      <c r="M1010" s="199">
        <f t="shared" si="291"/>
        <v>0</v>
      </c>
      <c r="N1010" s="199">
        <f t="shared" si="291"/>
        <v>0</v>
      </c>
      <c r="O1010" s="199">
        <f t="shared" si="291"/>
        <v>0</v>
      </c>
      <c r="P1010" s="199">
        <f t="shared" si="291"/>
        <v>0</v>
      </c>
      <c r="Q1010" s="199">
        <f t="shared" si="291"/>
        <v>0</v>
      </c>
      <c r="AC1010" s="54"/>
      <c r="AG1010" s="62" t="str">
        <f t="shared" si="290"/>
        <v>Hide Row</v>
      </c>
    </row>
    <row r="1011" spans="3:33">
      <c r="C1011" s="58" t="s">
        <v>324</v>
      </c>
      <c r="E1011" s="199">
        <f t="shared" si="291"/>
        <v>0</v>
      </c>
      <c r="F1011" s="199">
        <f t="shared" si="291"/>
        <v>0</v>
      </c>
      <c r="G1011" s="199">
        <f t="shared" si="291"/>
        <v>0</v>
      </c>
      <c r="H1011" s="199">
        <f t="shared" si="291"/>
        <v>0</v>
      </c>
      <c r="I1011" s="199">
        <f t="shared" si="291"/>
        <v>0</v>
      </c>
      <c r="J1011" s="199">
        <f t="shared" si="291"/>
        <v>0</v>
      </c>
      <c r="K1011" s="199">
        <f t="shared" si="291"/>
        <v>0</v>
      </c>
      <c r="L1011" s="199">
        <f t="shared" si="291"/>
        <v>0</v>
      </c>
      <c r="M1011" s="199">
        <f t="shared" si="291"/>
        <v>0</v>
      </c>
      <c r="N1011" s="199">
        <f t="shared" si="291"/>
        <v>0</v>
      </c>
      <c r="O1011" s="199">
        <f t="shared" si="291"/>
        <v>0</v>
      </c>
      <c r="P1011" s="199">
        <f t="shared" si="291"/>
        <v>0</v>
      </c>
      <c r="Q1011" s="199">
        <f t="shared" si="291"/>
        <v>0</v>
      </c>
      <c r="AC1011" s="54"/>
      <c r="AG1011" s="62"/>
    </row>
    <row r="1012" spans="3:33">
      <c r="C1012" s="58" t="s">
        <v>325</v>
      </c>
      <c r="E1012" s="199">
        <f t="shared" si="291"/>
        <v>0</v>
      </c>
      <c r="F1012" s="199">
        <f t="shared" si="291"/>
        <v>0</v>
      </c>
      <c r="G1012" s="199">
        <f t="shared" si="291"/>
        <v>0</v>
      </c>
      <c r="H1012" s="199">
        <f t="shared" si="291"/>
        <v>0</v>
      </c>
      <c r="I1012" s="199">
        <f t="shared" si="291"/>
        <v>0</v>
      </c>
      <c r="J1012" s="199">
        <f t="shared" si="291"/>
        <v>0</v>
      </c>
      <c r="K1012" s="199">
        <f t="shared" si="291"/>
        <v>0</v>
      </c>
      <c r="L1012" s="199">
        <f t="shared" si="291"/>
        <v>0</v>
      </c>
      <c r="M1012" s="199">
        <f t="shared" si="291"/>
        <v>0</v>
      </c>
      <c r="N1012" s="199">
        <f t="shared" si="291"/>
        <v>0</v>
      </c>
      <c r="O1012" s="199">
        <f t="shared" si="291"/>
        <v>0</v>
      </c>
      <c r="P1012" s="199">
        <f t="shared" si="291"/>
        <v>0</v>
      </c>
      <c r="Q1012" s="199">
        <f t="shared" si="291"/>
        <v>0</v>
      </c>
      <c r="AC1012" s="54"/>
      <c r="AG1012" s="62"/>
    </row>
    <row r="1013" spans="3:33">
      <c r="C1013" s="58" t="s">
        <v>326</v>
      </c>
      <c r="E1013" s="199">
        <f t="shared" si="291"/>
        <v>0</v>
      </c>
      <c r="F1013" s="199">
        <f t="shared" si="291"/>
        <v>0</v>
      </c>
      <c r="G1013" s="199">
        <f t="shared" si="291"/>
        <v>0</v>
      </c>
      <c r="H1013" s="199">
        <f t="shared" si="291"/>
        <v>0</v>
      </c>
      <c r="I1013" s="199">
        <f t="shared" si="291"/>
        <v>0</v>
      </c>
      <c r="J1013" s="199">
        <f t="shared" si="291"/>
        <v>0</v>
      </c>
      <c r="K1013" s="199">
        <f t="shared" si="291"/>
        <v>0</v>
      </c>
      <c r="L1013" s="199">
        <f t="shared" si="291"/>
        <v>0</v>
      </c>
      <c r="M1013" s="199">
        <f t="shared" si="291"/>
        <v>0</v>
      </c>
      <c r="N1013" s="199">
        <f t="shared" si="291"/>
        <v>0</v>
      </c>
      <c r="O1013" s="199">
        <f t="shared" si="291"/>
        <v>0</v>
      </c>
      <c r="P1013" s="199">
        <f t="shared" si="291"/>
        <v>0</v>
      </c>
      <c r="Q1013" s="199">
        <f t="shared" si="291"/>
        <v>0</v>
      </c>
      <c r="AC1013" s="54"/>
      <c r="AG1013" s="62"/>
    </row>
    <row r="1014" spans="3:33">
      <c r="C1014" s="58" t="s">
        <v>327</v>
      </c>
      <c r="E1014" s="199">
        <f t="shared" si="291"/>
        <v>0</v>
      </c>
      <c r="F1014" s="199">
        <f t="shared" si="291"/>
        <v>0</v>
      </c>
      <c r="G1014" s="199">
        <f t="shared" si="291"/>
        <v>0</v>
      </c>
      <c r="H1014" s="199">
        <f t="shared" si="291"/>
        <v>0</v>
      </c>
      <c r="I1014" s="199">
        <f t="shared" si="291"/>
        <v>0</v>
      </c>
      <c r="J1014" s="199">
        <f t="shared" si="291"/>
        <v>0</v>
      </c>
      <c r="K1014" s="199">
        <f t="shared" si="291"/>
        <v>0</v>
      </c>
      <c r="L1014" s="199">
        <f t="shared" si="291"/>
        <v>0</v>
      </c>
      <c r="M1014" s="199">
        <f t="shared" si="291"/>
        <v>0</v>
      </c>
      <c r="N1014" s="199">
        <f t="shared" si="291"/>
        <v>0</v>
      </c>
      <c r="O1014" s="199">
        <f t="shared" si="291"/>
        <v>0</v>
      </c>
      <c r="P1014" s="199">
        <f t="shared" si="291"/>
        <v>0</v>
      </c>
      <c r="Q1014" s="199">
        <f t="shared" si="291"/>
        <v>0</v>
      </c>
      <c r="AC1014" s="54"/>
      <c r="AG1014" s="62" t="str">
        <f t="shared" ref="AG1014:AG1020" si="292">AG476</f>
        <v>Hide Row</v>
      </c>
    </row>
    <row r="1015" spans="3:33">
      <c r="C1015" s="58" t="s">
        <v>328</v>
      </c>
      <c r="E1015" s="199">
        <f t="shared" si="291"/>
        <v>0</v>
      </c>
      <c r="F1015" s="199">
        <f t="shared" si="291"/>
        <v>0</v>
      </c>
      <c r="G1015" s="199">
        <f t="shared" si="291"/>
        <v>0</v>
      </c>
      <c r="H1015" s="199">
        <f t="shared" si="291"/>
        <v>0</v>
      </c>
      <c r="I1015" s="199">
        <f t="shared" si="291"/>
        <v>0</v>
      </c>
      <c r="J1015" s="199">
        <f t="shared" si="291"/>
        <v>0</v>
      </c>
      <c r="K1015" s="199">
        <f t="shared" si="291"/>
        <v>0</v>
      </c>
      <c r="L1015" s="199">
        <f t="shared" si="291"/>
        <v>0</v>
      </c>
      <c r="M1015" s="199">
        <f t="shared" si="291"/>
        <v>0</v>
      </c>
      <c r="N1015" s="199">
        <f t="shared" si="291"/>
        <v>0</v>
      </c>
      <c r="O1015" s="199">
        <f t="shared" si="291"/>
        <v>0</v>
      </c>
      <c r="P1015" s="199">
        <f t="shared" si="291"/>
        <v>0</v>
      </c>
      <c r="Q1015" s="199">
        <f t="shared" si="291"/>
        <v>0</v>
      </c>
      <c r="AC1015" s="54"/>
      <c r="AG1015" s="62" t="str">
        <f t="shared" si="292"/>
        <v>Hide Row</v>
      </c>
    </row>
    <row r="1016" spans="3:33">
      <c r="C1016" s="58" t="s">
        <v>329</v>
      </c>
      <c r="E1016" s="199">
        <f t="shared" si="291"/>
        <v>0</v>
      </c>
      <c r="F1016" s="199">
        <f t="shared" si="291"/>
        <v>0</v>
      </c>
      <c r="G1016" s="199">
        <f t="shared" si="291"/>
        <v>0</v>
      </c>
      <c r="H1016" s="199">
        <f t="shared" si="291"/>
        <v>0</v>
      </c>
      <c r="I1016" s="199">
        <f t="shared" si="291"/>
        <v>0</v>
      </c>
      <c r="J1016" s="199">
        <f t="shared" si="291"/>
        <v>0</v>
      </c>
      <c r="K1016" s="199">
        <f t="shared" si="291"/>
        <v>0</v>
      </c>
      <c r="L1016" s="199">
        <f t="shared" si="291"/>
        <v>0</v>
      </c>
      <c r="M1016" s="199">
        <f t="shared" si="291"/>
        <v>0</v>
      </c>
      <c r="N1016" s="199">
        <f t="shared" si="291"/>
        <v>0</v>
      </c>
      <c r="O1016" s="199">
        <f t="shared" si="291"/>
        <v>0</v>
      </c>
      <c r="P1016" s="199">
        <f t="shared" si="291"/>
        <v>0</v>
      </c>
      <c r="Q1016" s="199">
        <f t="shared" si="291"/>
        <v>0</v>
      </c>
      <c r="AC1016" s="54"/>
      <c r="AG1016" s="62" t="str">
        <f t="shared" si="292"/>
        <v>Hide Row</v>
      </c>
    </row>
    <row r="1017" spans="3:33">
      <c r="C1017" s="58" t="s">
        <v>330</v>
      </c>
      <c r="E1017" s="199">
        <f t="shared" si="291"/>
        <v>0</v>
      </c>
      <c r="F1017" s="199">
        <f t="shared" si="291"/>
        <v>0</v>
      </c>
      <c r="G1017" s="199">
        <f t="shared" si="291"/>
        <v>0</v>
      </c>
      <c r="H1017" s="199">
        <f t="shared" si="291"/>
        <v>0</v>
      </c>
      <c r="I1017" s="199">
        <f t="shared" si="291"/>
        <v>0</v>
      </c>
      <c r="J1017" s="199">
        <f t="shared" si="291"/>
        <v>0</v>
      </c>
      <c r="K1017" s="199">
        <f t="shared" si="291"/>
        <v>0</v>
      </c>
      <c r="L1017" s="199">
        <f t="shared" si="291"/>
        <v>0</v>
      </c>
      <c r="M1017" s="199">
        <f t="shared" si="291"/>
        <v>0</v>
      </c>
      <c r="N1017" s="199">
        <f t="shared" si="291"/>
        <v>0</v>
      </c>
      <c r="O1017" s="199">
        <f t="shared" si="291"/>
        <v>0</v>
      </c>
      <c r="P1017" s="199">
        <f t="shared" si="291"/>
        <v>0</v>
      </c>
      <c r="Q1017" s="199">
        <f t="shared" si="291"/>
        <v>0</v>
      </c>
      <c r="AC1017" s="54"/>
      <c r="AG1017" s="62" t="str">
        <f t="shared" si="292"/>
        <v>Hide Row</v>
      </c>
    </row>
    <row r="1018" spans="3:33">
      <c r="C1018" s="58" t="s">
        <v>331</v>
      </c>
      <c r="E1018" s="199">
        <f t="shared" si="291"/>
        <v>0</v>
      </c>
      <c r="F1018" s="199">
        <f t="shared" si="291"/>
        <v>0</v>
      </c>
      <c r="G1018" s="199">
        <f t="shared" si="291"/>
        <v>0</v>
      </c>
      <c r="H1018" s="199">
        <f t="shared" si="291"/>
        <v>0</v>
      </c>
      <c r="I1018" s="199">
        <f t="shared" si="291"/>
        <v>0</v>
      </c>
      <c r="J1018" s="199">
        <f t="shared" si="291"/>
        <v>0</v>
      </c>
      <c r="K1018" s="199">
        <f t="shared" si="291"/>
        <v>0</v>
      </c>
      <c r="L1018" s="199">
        <f t="shared" si="291"/>
        <v>0</v>
      </c>
      <c r="M1018" s="199">
        <f t="shared" si="291"/>
        <v>0</v>
      </c>
      <c r="N1018" s="199">
        <f t="shared" si="291"/>
        <v>0</v>
      </c>
      <c r="O1018" s="199">
        <f t="shared" si="291"/>
        <v>0</v>
      </c>
      <c r="P1018" s="199">
        <f t="shared" si="291"/>
        <v>0</v>
      </c>
      <c r="Q1018" s="199">
        <f t="shared" si="291"/>
        <v>0</v>
      </c>
      <c r="AC1018" s="54"/>
      <c r="AG1018" s="62" t="str">
        <f t="shared" si="292"/>
        <v>Hide Row</v>
      </c>
    </row>
    <row r="1019" spans="3:33" hidden="1">
      <c r="C1019" s="58" t="s">
        <v>332</v>
      </c>
      <c r="E1019" s="199">
        <f t="shared" si="291"/>
        <v>0</v>
      </c>
      <c r="F1019" s="199">
        <f t="shared" si="291"/>
        <v>0</v>
      </c>
      <c r="G1019" s="199">
        <f t="shared" si="291"/>
        <v>0</v>
      </c>
      <c r="H1019" s="199">
        <f t="shared" si="291"/>
        <v>0</v>
      </c>
      <c r="I1019" s="199">
        <f t="shared" si="291"/>
        <v>0</v>
      </c>
      <c r="J1019" s="199">
        <f t="shared" si="291"/>
        <v>0</v>
      </c>
      <c r="K1019" s="199">
        <f t="shared" si="291"/>
        <v>0</v>
      </c>
      <c r="L1019" s="199">
        <f t="shared" si="291"/>
        <v>0</v>
      </c>
      <c r="M1019" s="199">
        <f t="shared" si="291"/>
        <v>0</v>
      </c>
      <c r="N1019" s="199">
        <f t="shared" si="291"/>
        <v>0</v>
      </c>
      <c r="O1019" s="199">
        <f t="shared" si="291"/>
        <v>0</v>
      </c>
      <c r="P1019" s="199">
        <f t="shared" si="291"/>
        <v>0</v>
      </c>
      <c r="Q1019" s="199">
        <f t="shared" si="291"/>
        <v>0</v>
      </c>
      <c r="AC1019" s="54"/>
      <c r="AG1019" s="62" t="str">
        <f t="shared" si="292"/>
        <v>Hide Row</v>
      </c>
    </row>
    <row r="1020" spans="3:33" hidden="1">
      <c r="C1020" s="58" t="s">
        <v>333</v>
      </c>
      <c r="E1020" s="199">
        <f t="shared" si="291"/>
        <v>0</v>
      </c>
      <c r="F1020" s="199">
        <f t="shared" si="291"/>
        <v>0</v>
      </c>
      <c r="G1020" s="199">
        <f t="shared" si="291"/>
        <v>0</v>
      </c>
      <c r="H1020" s="199">
        <f t="shared" si="291"/>
        <v>0</v>
      </c>
      <c r="I1020" s="199">
        <f t="shared" si="291"/>
        <v>0</v>
      </c>
      <c r="J1020" s="199">
        <f t="shared" si="291"/>
        <v>0</v>
      </c>
      <c r="K1020" s="199">
        <f t="shared" si="291"/>
        <v>0</v>
      </c>
      <c r="L1020" s="199">
        <f t="shared" si="291"/>
        <v>0</v>
      </c>
      <c r="M1020" s="199">
        <f t="shared" si="291"/>
        <v>0</v>
      </c>
      <c r="N1020" s="199">
        <f t="shared" si="291"/>
        <v>0</v>
      </c>
      <c r="O1020" s="199">
        <f t="shared" si="291"/>
        <v>0</v>
      </c>
      <c r="P1020" s="199">
        <f t="shared" si="291"/>
        <v>0</v>
      </c>
      <c r="Q1020" s="199">
        <f t="shared" si="291"/>
        <v>0</v>
      </c>
      <c r="AC1020" s="54"/>
      <c r="AG1020" s="62" t="str">
        <f t="shared" si="292"/>
        <v>Hide Row</v>
      </c>
    </row>
    <row r="1021" spans="3:33">
      <c r="C1021" s="58" t="s">
        <v>334</v>
      </c>
      <c r="E1021" s="199">
        <f t="shared" si="291"/>
        <v>0</v>
      </c>
      <c r="F1021" s="199">
        <f t="shared" si="291"/>
        <v>0</v>
      </c>
      <c r="G1021" s="199">
        <f t="shared" si="291"/>
        <v>0</v>
      </c>
      <c r="H1021" s="199">
        <f t="shared" si="291"/>
        <v>0</v>
      </c>
      <c r="I1021" s="199">
        <f t="shared" si="291"/>
        <v>0</v>
      </c>
      <c r="J1021" s="199">
        <f t="shared" si="291"/>
        <v>0</v>
      </c>
      <c r="K1021" s="199">
        <f t="shared" si="291"/>
        <v>0</v>
      </c>
      <c r="L1021" s="199">
        <f t="shared" si="291"/>
        <v>0</v>
      </c>
      <c r="M1021" s="199">
        <f t="shared" si="291"/>
        <v>0</v>
      </c>
      <c r="N1021" s="199">
        <f t="shared" si="291"/>
        <v>0</v>
      </c>
      <c r="O1021" s="199">
        <f t="shared" si="291"/>
        <v>0</v>
      </c>
      <c r="P1021" s="199">
        <f t="shared" si="291"/>
        <v>0</v>
      </c>
      <c r="Q1021" s="199">
        <f t="shared" si="291"/>
        <v>0</v>
      </c>
      <c r="AC1021" s="54"/>
      <c r="AG1021" s="62"/>
    </row>
    <row r="1022" spans="3:33">
      <c r="C1022" s="58" t="s">
        <v>335</v>
      </c>
      <c r="E1022" s="199">
        <f t="shared" si="291"/>
        <v>0</v>
      </c>
      <c r="F1022" s="199">
        <f t="shared" si="291"/>
        <v>0</v>
      </c>
      <c r="G1022" s="199">
        <f t="shared" si="291"/>
        <v>0</v>
      </c>
      <c r="H1022" s="199">
        <f t="shared" si="291"/>
        <v>0</v>
      </c>
      <c r="I1022" s="199">
        <f t="shared" si="291"/>
        <v>0</v>
      </c>
      <c r="J1022" s="199">
        <f t="shared" si="291"/>
        <v>0</v>
      </c>
      <c r="K1022" s="199">
        <f t="shared" si="291"/>
        <v>0</v>
      </c>
      <c r="L1022" s="199">
        <f t="shared" si="291"/>
        <v>0</v>
      </c>
      <c r="M1022" s="199">
        <f t="shared" si="291"/>
        <v>0</v>
      </c>
      <c r="N1022" s="199">
        <f t="shared" si="291"/>
        <v>0</v>
      </c>
      <c r="O1022" s="199">
        <f t="shared" si="291"/>
        <v>0</v>
      </c>
      <c r="P1022" s="199">
        <f t="shared" si="291"/>
        <v>0</v>
      </c>
      <c r="Q1022" s="199">
        <f t="shared" si="291"/>
        <v>0</v>
      </c>
      <c r="AC1022" s="54"/>
      <c r="AG1022" s="62"/>
    </row>
    <row r="1023" spans="3:33">
      <c r="C1023" s="58" t="s">
        <v>336</v>
      </c>
      <c r="E1023" s="199">
        <f t="shared" si="291"/>
        <v>0</v>
      </c>
      <c r="F1023" s="199">
        <f t="shared" si="291"/>
        <v>0</v>
      </c>
      <c r="G1023" s="199">
        <f t="shared" si="291"/>
        <v>0</v>
      </c>
      <c r="H1023" s="199">
        <f t="shared" si="291"/>
        <v>0</v>
      </c>
      <c r="I1023" s="199">
        <f t="shared" si="291"/>
        <v>0</v>
      </c>
      <c r="J1023" s="199">
        <f t="shared" si="291"/>
        <v>0</v>
      </c>
      <c r="K1023" s="199">
        <f t="shared" si="291"/>
        <v>0</v>
      </c>
      <c r="L1023" s="199">
        <f t="shared" si="291"/>
        <v>0</v>
      </c>
      <c r="M1023" s="199">
        <f t="shared" si="291"/>
        <v>0</v>
      </c>
      <c r="N1023" s="199">
        <f t="shared" si="291"/>
        <v>0</v>
      </c>
      <c r="O1023" s="199">
        <f t="shared" si="291"/>
        <v>0</v>
      </c>
      <c r="P1023" s="199">
        <f t="shared" si="291"/>
        <v>0</v>
      </c>
      <c r="Q1023" s="199">
        <f t="shared" si="291"/>
        <v>0</v>
      </c>
      <c r="AC1023" s="54"/>
      <c r="AG1023" s="62"/>
    </row>
    <row r="1024" spans="3:33" hidden="1">
      <c r="C1024" s="58" t="s">
        <v>337</v>
      </c>
      <c r="E1024" s="199">
        <f t="shared" si="291"/>
        <v>0</v>
      </c>
      <c r="F1024" s="199">
        <f t="shared" si="291"/>
        <v>0</v>
      </c>
      <c r="G1024" s="199">
        <f t="shared" si="291"/>
        <v>0</v>
      </c>
      <c r="H1024" s="199">
        <f t="shared" si="291"/>
        <v>0</v>
      </c>
      <c r="I1024" s="199">
        <f t="shared" si="291"/>
        <v>0</v>
      </c>
      <c r="J1024" s="199">
        <f t="shared" si="291"/>
        <v>0</v>
      </c>
      <c r="K1024" s="199">
        <f t="shared" si="291"/>
        <v>0</v>
      </c>
      <c r="L1024" s="199">
        <f t="shared" si="291"/>
        <v>0</v>
      </c>
      <c r="M1024" s="199">
        <f t="shared" si="291"/>
        <v>0</v>
      </c>
      <c r="N1024" s="199">
        <f t="shared" si="291"/>
        <v>0</v>
      </c>
      <c r="O1024" s="199">
        <f t="shared" si="291"/>
        <v>0</v>
      </c>
      <c r="P1024" s="199">
        <f t="shared" si="291"/>
        <v>0</v>
      </c>
      <c r="Q1024" s="199">
        <f t="shared" si="291"/>
        <v>0</v>
      </c>
      <c r="AC1024" s="54"/>
      <c r="AG1024" s="62" t="str">
        <f>AG486</f>
        <v>Hide Row</v>
      </c>
    </row>
    <row r="1025" spans="2:33">
      <c r="C1025" s="58" t="s">
        <v>339</v>
      </c>
      <c r="E1025" s="199">
        <f t="shared" ref="E1025:Q1030" si="293">IF(OR(E487=0,NOT($S487)),0,E157/E487)</f>
        <v>0</v>
      </c>
      <c r="F1025" s="199">
        <f t="shared" si="293"/>
        <v>0</v>
      </c>
      <c r="G1025" s="199">
        <f t="shared" si="293"/>
        <v>0</v>
      </c>
      <c r="H1025" s="199">
        <f t="shared" si="293"/>
        <v>0</v>
      </c>
      <c r="I1025" s="199">
        <f t="shared" si="293"/>
        <v>0</v>
      </c>
      <c r="J1025" s="199">
        <f t="shared" si="293"/>
        <v>0</v>
      </c>
      <c r="K1025" s="199">
        <f t="shared" si="293"/>
        <v>0</v>
      </c>
      <c r="L1025" s="199">
        <f t="shared" si="293"/>
        <v>0</v>
      </c>
      <c r="M1025" s="199">
        <f t="shared" si="293"/>
        <v>0</v>
      </c>
      <c r="N1025" s="199">
        <f t="shared" si="293"/>
        <v>0</v>
      </c>
      <c r="O1025" s="199">
        <f t="shared" si="293"/>
        <v>0</v>
      </c>
      <c r="P1025" s="199">
        <f t="shared" si="293"/>
        <v>0</v>
      </c>
      <c r="Q1025" s="199">
        <f t="shared" si="293"/>
        <v>0</v>
      </c>
      <c r="AC1025" s="54"/>
      <c r="AG1025" s="62" t="str">
        <f>AG487</f>
        <v>Hide Row</v>
      </c>
    </row>
    <row r="1026" spans="2:33">
      <c r="C1026" s="58" t="s">
        <v>341</v>
      </c>
      <c r="E1026" s="199">
        <f t="shared" si="293"/>
        <v>0</v>
      </c>
      <c r="F1026" s="199">
        <f t="shared" si="293"/>
        <v>0</v>
      </c>
      <c r="G1026" s="199">
        <f t="shared" si="293"/>
        <v>0</v>
      </c>
      <c r="H1026" s="199">
        <f t="shared" si="293"/>
        <v>0</v>
      </c>
      <c r="I1026" s="199">
        <f t="shared" si="293"/>
        <v>0</v>
      </c>
      <c r="J1026" s="199">
        <f t="shared" si="293"/>
        <v>0</v>
      </c>
      <c r="K1026" s="199">
        <f t="shared" si="293"/>
        <v>0</v>
      </c>
      <c r="L1026" s="199">
        <f t="shared" si="293"/>
        <v>0</v>
      </c>
      <c r="M1026" s="199">
        <f t="shared" si="293"/>
        <v>0</v>
      </c>
      <c r="N1026" s="199">
        <f t="shared" si="293"/>
        <v>0</v>
      </c>
      <c r="O1026" s="199">
        <f t="shared" si="293"/>
        <v>0</v>
      </c>
      <c r="P1026" s="199">
        <f t="shared" si="293"/>
        <v>0</v>
      </c>
      <c r="Q1026" s="199">
        <f t="shared" si="293"/>
        <v>0</v>
      </c>
      <c r="AC1026" s="54"/>
      <c r="AG1026" s="62" t="str">
        <f>AG488</f>
        <v>Hide Row</v>
      </c>
    </row>
    <row r="1027" spans="2:33" hidden="1">
      <c r="C1027" s="58" t="s">
        <v>344</v>
      </c>
      <c r="E1027" s="199">
        <f t="shared" si="293"/>
        <v>0</v>
      </c>
      <c r="F1027" s="199">
        <f t="shared" si="293"/>
        <v>0</v>
      </c>
      <c r="G1027" s="199">
        <f t="shared" si="293"/>
        <v>0</v>
      </c>
      <c r="H1027" s="199">
        <f t="shared" si="293"/>
        <v>0</v>
      </c>
      <c r="I1027" s="199">
        <f t="shared" si="293"/>
        <v>0</v>
      </c>
      <c r="J1027" s="199">
        <f t="shared" si="293"/>
        <v>0</v>
      </c>
      <c r="K1027" s="199">
        <f t="shared" si="293"/>
        <v>0</v>
      </c>
      <c r="L1027" s="199">
        <f t="shared" si="293"/>
        <v>0</v>
      </c>
      <c r="M1027" s="199">
        <f t="shared" si="293"/>
        <v>0</v>
      </c>
      <c r="N1027" s="199">
        <f t="shared" si="293"/>
        <v>0</v>
      </c>
      <c r="O1027" s="199">
        <f t="shared" si="293"/>
        <v>0</v>
      </c>
      <c r="P1027" s="199">
        <f t="shared" si="293"/>
        <v>0</v>
      </c>
      <c r="Q1027" s="199">
        <f t="shared" si="293"/>
        <v>0</v>
      </c>
      <c r="AC1027" s="54"/>
      <c r="AG1027" s="62" t="str">
        <f>AG489</f>
        <v>Hide Row</v>
      </c>
    </row>
    <row r="1028" spans="2:33">
      <c r="C1028" s="58" t="s">
        <v>345</v>
      </c>
      <c r="E1028" s="199">
        <f t="shared" si="293"/>
        <v>0</v>
      </c>
      <c r="F1028" s="199">
        <f t="shared" si="293"/>
        <v>0</v>
      </c>
      <c r="G1028" s="199">
        <f t="shared" si="293"/>
        <v>0</v>
      </c>
      <c r="H1028" s="199">
        <f t="shared" si="293"/>
        <v>0</v>
      </c>
      <c r="I1028" s="199">
        <f t="shared" si="293"/>
        <v>0</v>
      </c>
      <c r="J1028" s="199">
        <f t="shared" si="293"/>
        <v>0</v>
      </c>
      <c r="K1028" s="199">
        <f t="shared" si="293"/>
        <v>0</v>
      </c>
      <c r="L1028" s="199">
        <f t="shared" si="293"/>
        <v>0</v>
      </c>
      <c r="M1028" s="199">
        <f t="shared" si="293"/>
        <v>0</v>
      </c>
      <c r="N1028" s="199">
        <f t="shared" si="293"/>
        <v>0</v>
      </c>
      <c r="O1028" s="199">
        <f t="shared" si="293"/>
        <v>0</v>
      </c>
      <c r="P1028" s="199">
        <f t="shared" si="293"/>
        <v>0</v>
      </c>
      <c r="Q1028" s="199">
        <f t="shared" si="293"/>
        <v>0</v>
      </c>
      <c r="AC1028" s="54"/>
      <c r="AG1028" s="62"/>
    </row>
    <row r="1029" spans="2:33" hidden="1">
      <c r="C1029" s="58" t="s">
        <v>346</v>
      </c>
      <c r="E1029" s="199">
        <f t="shared" si="293"/>
        <v>0</v>
      </c>
      <c r="F1029" s="199">
        <f t="shared" si="293"/>
        <v>0</v>
      </c>
      <c r="G1029" s="199">
        <f t="shared" si="293"/>
        <v>0</v>
      </c>
      <c r="H1029" s="199">
        <f t="shared" si="293"/>
        <v>0</v>
      </c>
      <c r="I1029" s="199">
        <f t="shared" si="293"/>
        <v>0</v>
      </c>
      <c r="J1029" s="199">
        <f t="shared" si="293"/>
        <v>0</v>
      </c>
      <c r="K1029" s="199">
        <f t="shared" si="293"/>
        <v>0</v>
      </c>
      <c r="L1029" s="199">
        <f t="shared" si="293"/>
        <v>0</v>
      </c>
      <c r="M1029" s="199">
        <f t="shared" si="293"/>
        <v>0</v>
      </c>
      <c r="N1029" s="199">
        <f t="shared" si="293"/>
        <v>0</v>
      </c>
      <c r="O1029" s="199">
        <f t="shared" si="293"/>
        <v>0</v>
      </c>
      <c r="P1029" s="199">
        <f t="shared" si="293"/>
        <v>0</v>
      </c>
      <c r="Q1029" s="199">
        <f t="shared" si="293"/>
        <v>0</v>
      </c>
      <c r="AC1029" s="54"/>
      <c r="AG1029" s="62" t="str">
        <f>AG491</f>
        <v>Hide Row</v>
      </c>
    </row>
    <row r="1030" spans="2:33" hidden="1">
      <c r="C1030" s="58">
        <v>0</v>
      </c>
      <c r="E1030" s="199">
        <f t="shared" si="293"/>
        <v>0</v>
      </c>
      <c r="F1030" s="199">
        <f t="shared" si="293"/>
        <v>0</v>
      </c>
      <c r="G1030" s="199">
        <f t="shared" si="293"/>
        <v>0</v>
      </c>
      <c r="H1030" s="199">
        <f t="shared" si="293"/>
        <v>0</v>
      </c>
      <c r="I1030" s="199">
        <f t="shared" si="293"/>
        <v>0</v>
      </c>
      <c r="J1030" s="199">
        <f t="shared" si="293"/>
        <v>0</v>
      </c>
      <c r="K1030" s="199">
        <f t="shared" si="293"/>
        <v>0</v>
      </c>
      <c r="L1030" s="199">
        <f t="shared" si="293"/>
        <v>0</v>
      </c>
      <c r="M1030" s="199">
        <f t="shared" si="293"/>
        <v>0</v>
      </c>
      <c r="N1030" s="199">
        <f t="shared" si="293"/>
        <v>0</v>
      </c>
      <c r="O1030" s="199">
        <f t="shared" si="293"/>
        <v>0</v>
      </c>
      <c r="P1030" s="199">
        <f t="shared" si="293"/>
        <v>0</v>
      </c>
      <c r="Q1030" s="199">
        <f t="shared" si="293"/>
        <v>0</v>
      </c>
      <c r="AC1030" s="54"/>
      <c r="AG1030" s="62" t="str">
        <f>AG492</f>
        <v>Hide Row</v>
      </c>
    </row>
    <row r="1031" spans="2:33">
      <c r="C1031" s="58"/>
      <c r="E1031" s="199"/>
      <c r="F1031" s="199"/>
      <c r="G1031" s="199"/>
      <c r="H1031" s="199"/>
      <c r="I1031" s="199"/>
      <c r="J1031" s="199"/>
      <c r="K1031" s="199"/>
      <c r="L1031" s="199"/>
      <c r="M1031" s="199"/>
      <c r="N1031" s="199"/>
      <c r="O1031" s="199"/>
      <c r="P1031" s="199"/>
      <c r="Q1031" s="199"/>
      <c r="AC1031" s="54"/>
    </row>
    <row r="1032" spans="2:33">
      <c r="B1032" s="51" t="str">
        <f>B494</f>
        <v>Qualifying Facilities Total</v>
      </c>
      <c r="C1032" s="58"/>
      <c r="E1032" s="199">
        <f t="shared" ref="E1032:Q1032" si="294">IF(E494=0,0,E164/E494)</f>
        <v>36.473673585448736</v>
      </c>
      <c r="F1032" s="199">
        <f t="shared" si="294"/>
        <v>35.604260924865997</v>
      </c>
      <c r="G1032" s="199">
        <f t="shared" si="294"/>
        <v>36.192135905617334</v>
      </c>
      <c r="H1032" s="199">
        <f t="shared" si="294"/>
        <v>36.56425818882466</v>
      </c>
      <c r="I1032" s="199">
        <f t="shared" si="294"/>
        <v>36.726349354317406</v>
      </c>
      <c r="J1032" s="199">
        <f t="shared" si="294"/>
        <v>36.760841798847501</v>
      </c>
      <c r="K1032" s="199">
        <f t="shared" si="294"/>
        <v>36.654380157359427</v>
      </c>
      <c r="L1032" s="199">
        <f t="shared" si="294"/>
        <v>36.090255430344712</v>
      </c>
      <c r="M1032" s="199">
        <f t="shared" si="294"/>
        <v>35.330957861849576</v>
      </c>
      <c r="N1032" s="199">
        <f t="shared" si="294"/>
        <v>35.330958955692232</v>
      </c>
      <c r="O1032" s="199">
        <f t="shared" si="294"/>
        <v>37.13575399564872</v>
      </c>
      <c r="P1032" s="199">
        <f t="shared" si="294"/>
        <v>37.135750049829738</v>
      </c>
      <c r="Q1032" s="199">
        <f t="shared" si="294"/>
        <v>37.135757600689246</v>
      </c>
      <c r="AC1032" s="54"/>
    </row>
    <row r="1033" spans="2:33">
      <c r="C1033" s="58"/>
      <c r="E1033" s="199"/>
      <c r="F1033" s="199"/>
      <c r="G1033" s="199"/>
      <c r="H1033" s="199"/>
      <c r="I1033" s="199"/>
      <c r="J1033" s="199"/>
      <c r="K1033" s="199"/>
      <c r="L1033" s="199"/>
      <c r="M1033" s="199"/>
      <c r="N1033" s="199"/>
      <c r="O1033" s="199"/>
      <c r="P1033" s="199"/>
      <c r="Q1033" s="199"/>
      <c r="AC1033" s="54"/>
    </row>
    <row r="1034" spans="2:33">
      <c r="B1034" s="51" t="str">
        <f>B496</f>
        <v>Mid-Columbia Contracts</v>
      </c>
      <c r="C1034" s="58"/>
      <c r="E1034" s="199"/>
      <c r="F1034" s="199"/>
      <c r="G1034" s="199"/>
      <c r="H1034" s="199"/>
      <c r="I1034" s="199"/>
      <c r="J1034" s="199"/>
      <c r="K1034" s="199"/>
      <c r="L1034" s="199"/>
      <c r="M1034" s="199"/>
      <c r="N1034" s="199"/>
      <c r="O1034" s="199"/>
      <c r="P1034" s="199"/>
      <c r="Q1034" s="199"/>
      <c r="AC1034" s="54"/>
    </row>
    <row r="1035" spans="2:33" hidden="1">
      <c r="C1035" s="58" t="s">
        <v>348</v>
      </c>
      <c r="E1035" s="199">
        <f t="shared" ref="E1035:Q1044" si="295">IF(OR(E497=0,NOT($S497)),0,E167/E497)</f>
        <v>0</v>
      </c>
      <c r="F1035" s="199">
        <f t="shared" si="295"/>
        <v>0</v>
      </c>
      <c r="G1035" s="199">
        <f t="shared" si="295"/>
        <v>0</v>
      </c>
      <c r="H1035" s="199">
        <f t="shared" si="295"/>
        <v>0</v>
      </c>
      <c r="I1035" s="199">
        <f t="shared" si="295"/>
        <v>0</v>
      </c>
      <c r="J1035" s="199">
        <f t="shared" si="295"/>
        <v>0</v>
      </c>
      <c r="K1035" s="199">
        <f t="shared" si="295"/>
        <v>0</v>
      </c>
      <c r="L1035" s="199">
        <f t="shared" si="295"/>
        <v>0</v>
      </c>
      <c r="M1035" s="199">
        <f t="shared" si="295"/>
        <v>0</v>
      </c>
      <c r="N1035" s="199">
        <f t="shared" si="295"/>
        <v>0</v>
      </c>
      <c r="O1035" s="199">
        <f t="shared" si="295"/>
        <v>0</v>
      </c>
      <c r="P1035" s="199">
        <f t="shared" si="295"/>
        <v>0</v>
      </c>
      <c r="Q1035" s="199">
        <f t="shared" si="295"/>
        <v>0</v>
      </c>
      <c r="AC1035" s="54"/>
      <c r="AG1035" s="62" t="str">
        <f t="shared" ref="AG1035:AG1044" si="296">AG497</f>
        <v>Hide Row</v>
      </c>
    </row>
    <row r="1036" spans="2:33" hidden="1">
      <c r="C1036" s="58" t="s">
        <v>350</v>
      </c>
      <c r="E1036" s="199">
        <f t="shared" si="295"/>
        <v>0</v>
      </c>
      <c r="F1036" s="199">
        <f t="shared" si="295"/>
        <v>0</v>
      </c>
      <c r="G1036" s="199">
        <f t="shared" si="295"/>
        <v>0</v>
      </c>
      <c r="H1036" s="199">
        <f t="shared" si="295"/>
        <v>0</v>
      </c>
      <c r="I1036" s="199">
        <f t="shared" si="295"/>
        <v>0</v>
      </c>
      <c r="J1036" s="199">
        <f t="shared" si="295"/>
        <v>0</v>
      </c>
      <c r="K1036" s="199">
        <f t="shared" si="295"/>
        <v>0</v>
      </c>
      <c r="L1036" s="199">
        <f t="shared" si="295"/>
        <v>0</v>
      </c>
      <c r="M1036" s="199">
        <f t="shared" si="295"/>
        <v>0</v>
      </c>
      <c r="N1036" s="199">
        <f t="shared" si="295"/>
        <v>0</v>
      </c>
      <c r="O1036" s="199">
        <f t="shared" si="295"/>
        <v>0</v>
      </c>
      <c r="P1036" s="199">
        <f t="shared" si="295"/>
        <v>0</v>
      </c>
      <c r="Q1036" s="199">
        <f t="shared" si="295"/>
        <v>0</v>
      </c>
      <c r="AC1036" s="54"/>
      <c r="AG1036" s="62" t="str">
        <f t="shared" si="296"/>
        <v>Hide Row</v>
      </c>
    </row>
    <row r="1037" spans="2:33">
      <c r="C1037" s="58" t="s">
        <v>352</v>
      </c>
      <c r="E1037" s="199">
        <f t="shared" si="295"/>
        <v>14.537840977985397</v>
      </c>
      <c r="F1037" s="199">
        <f t="shared" si="295"/>
        <v>12.936248485585901</v>
      </c>
      <c r="G1037" s="199">
        <f t="shared" si="295"/>
        <v>10.851510970253186</v>
      </c>
      <c r="H1037" s="199">
        <f t="shared" si="295"/>
        <v>11.363981979533092</v>
      </c>
      <c r="I1037" s="199">
        <f t="shared" si="295"/>
        <v>11.634205193095198</v>
      </c>
      <c r="J1037" s="199">
        <f t="shared" si="295"/>
        <v>15.752748412746868</v>
      </c>
      <c r="K1037" s="199">
        <f t="shared" si="295"/>
        <v>22.994800323262233</v>
      </c>
      <c r="L1037" s="199">
        <f t="shared" si="295"/>
        <v>19.992499636107755</v>
      </c>
      <c r="M1037" s="199">
        <f t="shared" si="295"/>
        <v>17.818962445866124</v>
      </c>
      <c r="N1037" s="199">
        <f t="shared" si="295"/>
        <v>15.488131917728177</v>
      </c>
      <c r="O1037" s="199">
        <f t="shared" si="295"/>
        <v>12.016374759710171</v>
      </c>
      <c r="P1037" s="199">
        <f t="shared" si="295"/>
        <v>16.0331312550957</v>
      </c>
      <c r="Q1037" s="199">
        <f t="shared" si="295"/>
        <v>16.744671909419285</v>
      </c>
      <c r="AC1037" s="54"/>
      <c r="AG1037" s="62" t="str">
        <f t="shared" si="296"/>
        <v/>
      </c>
    </row>
    <row r="1038" spans="2:33" hidden="1">
      <c r="C1038" s="58" t="s">
        <v>355</v>
      </c>
      <c r="E1038" s="199">
        <f t="shared" si="295"/>
        <v>0</v>
      </c>
      <c r="F1038" s="199">
        <f t="shared" si="295"/>
        <v>0</v>
      </c>
      <c r="G1038" s="199">
        <f t="shared" si="295"/>
        <v>0</v>
      </c>
      <c r="H1038" s="199">
        <f t="shared" si="295"/>
        <v>0</v>
      </c>
      <c r="I1038" s="199">
        <f t="shared" si="295"/>
        <v>0</v>
      </c>
      <c r="J1038" s="199">
        <f t="shared" si="295"/>
        <v>0</v>
      </c>
      <c r="K1038" s="199">
        <f t="shared" si="295"/>
        <v>0</v>
      </c>
      <c r="L1038" s="199">
        <f t="shared" si="295"/>
        <v>0</v>
      </c>
      <c r="M1038" s="199">
        <f t="shared" si="295"/>
        <v>0</v>
      </c>
      <c r="N1038" s="199">
        <f t="shared" si="295"/>
        <v>0</v>
      </c>
      <c r="O1038" s="199">
        <f t="shared" si="295"/>
        <v>0</v>
      </c>
      <c r="P1038" s="199">
        <f t="shared" si="295"/>
        <v>0</v>
      </c>
      <c r="Q1038" s="199">
        <f t="shared" si="295"/>
        <v>0</v>
      </c>
      <c r="AC1038" s="54"/>
      <c r="AG1038" s="62" t="str">
        <f t="shared" si="296"/>
        <v>Hide Row</v>
      </c>
    </row>
    <row r="1039" spans="2:33" hidden="1">
      <c r="C1039" s="58" t="s">
        <v>357</v>
      </c>
      <c r="E1039" s="199">
        <f t="shared" si="295"/>
        <v>0</v>
      </c>
      <c r="F1039" s="199">
        <f t="shared" si="295"/>
        <v>0</v>
      </c>
      <c r="G1039" s="199">
        <f t="shared" si="295"/>
        <v>0</v>
      </c>
      <c r="H1039" s="199">
        <f t="shared" si="295"/>
        <v>0</v>
      </c>
      <c r="I1039" s="199">
        <f t="shared" si="295"/>
        <v>0</v>
      </c>
      <c r="J1039" s="199">
        <f t="shared" si="295"/>
        <v>0</v>
      </c>
      <c r="K1039" s="199">
        <f t="shared" si="295"/>
        <v>0</v>
      </c>
      <c r="L1039" s="199">
        <f t="shared" si="295"/>
        <v>0</v>
      </c>
      <c r="M1039" s="199">
        <f t="shared" si="295"/>
        <v>0</v>
      </c>
      <c r="N1039" s="199">
        <f t="shared" si="295"/>
        <v>0</v>
      </c>
      <c r="O1039" s="199">
        <f t="shared" si="295"/>
        <v>0</v>
      </c>
      <c r="P1039" s="199">
        <f t="shared" si="295"/>
        <v>0</v>
      </c>
      <c r="Q1039" s="199">
        <f t="shared" si="295"/>
        <v>0</v>
      </c>
      <c r="AC1039" s="54"/>
      <c r="AG1039" s="62" t="str">
        <f t="shared" si="296"/>
        <v>Hide Row</v>
      </c>
    </row>
    <row r="1040" spans="2:33" hidden="1">
      <c r="C1040" s="58" t="s">
        <v>358</v>
      </c>
      <c r="E1040" s="199">
        <f t="shared" si="295"/>
        <v>0</v>
      </c>
      <c r="F1040" s="199">
        <f t="shared" si="295"/>
        <v>0</v>
      </c>
      <c r="G1040" s="199">
        <f t="shared" si="295"/>
        <v>0</v>
      </c>
      <c r="H1040" s="199">
        <f t="shared" si="295"/>
        <v>0</v>
      </c>
      <c r="I1040" s="199">
        <f t="shared" si="295"/>
        <v>0</v>
      </c>
      <c r="J1040" s="199">
        <f t="shared" si="295"/>
        <v>0</v>
      </c>
      <c r="K1040" s="199">
        <f t="shared" si="295"/>
        <v>0</v>
      </c>
      <c r="L1040" s="199">
        <f t="shared" si="295"/>
        <v>0</v>
      </c>
      <c r="M1040" s="199">
        <f t="shared" si="295"/>
        <v>0</v>
      </c>
      <c r="N1040" s="199">
        <f t="shared" si="295"/>
        <v>0</v>
      </c>
      <c r="O1040" s="199">
        <f t="shared" si="295"/>
        <v>0</v>
      </c>
      <c r="P1040" s="199">
        <f t="shared" si="295"/>
        <v>0</v>
      </c>
      <c r="Q1040" s="199">
        <f t="shared" si="295"/>
        <v>0</v>
      </c>
      <c r="AC1040" s="54"/>
      <c r="AG1040" s="62" t="str">
        <f t="shared" si="296"/>
        <v>Hide Row</v>
      </c>
    </row>
    <row r="1041" spans="1:33">
      <c r="C1041" s="58" t="s">
        <v>360</v>
      </c>
      <c r="E1041" s="199">
        <f t="shared" si="295"/>
        <v>22.77499931771824</v>
      </c>
      <c r="F1041" s="199">
        <f t="shared" si="295"/>
        <v>21.189921601489541</v>
      </c>
      <c r="G1041" s="199">
        <f t="shared" si="295"/>
        <v>21.76411045476026</v>
      </c>
      <c r="H1041" s="199">
        <f t="shared" si="295"/>
        <v>20.641422400335159</v>
      </c>
      <c r="I1041" s="199">
        <f t="shared" si="295"/>
        <v>20.452194834491493</v>
      </c>
      <c r="J1041" s="199">
        <f t="shared" si="295"/>
        <v>25.07352640724714</v>
      </c>
      <c r="K1041" s="199">
        <f t="shared" si="295"/>
        <v>31.692430471665201</v>
      </c>
      <c r="L1041" s="199">
        <f t="shared" si="295"/>
        <v>27.126177970349037</v>
      </c>
      <c r="M1041" s="199">
        <f t="shared" si="295"/>
        <v>24.834832014809201</v>
      </c>
      <c r="N1041" s="199">
        <f t="shared" si="295"/>
        <v>21.398453960927181</v>
      </c>
      <c r="O1041" s="199">
        <f t="shared" si="295"/>
        <v>17.119121624445029</v>
      </c>
      <c r="P1041" s="199">
        <f t="shared" si="295"/>
        <v>25.087832365118796</v>
      </c>
      <c r="Q1041" s="199">
        <f t="shared" si="295"/>
        <v>23.439369174481133</v>
      </c>
      <c r="AC1041" s="54"/>
      <c r="AG1041" s="62" t="str">
        <f t="shared" si="296"/>
        <v/>
      </c>
    </row>
    <row r="1042" spans="1:33" hidden="1">
      <c r="C1042" s="58" t="s">
        <v>363</v>
      </c>
      <c r="E1042" s="199">
        <f t="shared" si="295"/>
        <v>0</v>
      </c>
      <c r="F1042" s="199">
        <f t="shared" si="295"/>
        <v>0</v>
      </c>
      <c r="G1042" s="199">
        <f t="shared" si="295"/>
        <v>0</v>
      </c>
      <c r="H1042" s="199">
        <f t="shared" si="295"/>
        <v>0</v>
      </c>
      <c r="I1042" s="199">
        <f t="shared" si="295"/>
        <v>0</v>
      </c>
      <c r="J1042" s="199">
        <f t="shared" si="295"/>
        <v>0</v>
      </c>
      <c r="K1042" s="199">
        <f t="shared" si="295"/>
        <v>0</v>
      </c>
      <c r="L1042" s="199">
        <f t="shared" si="295"/>
        <v>0</v>
      </c>
      <c r="M1042" s="199">
        <f t="shared" si="295"/>
        <v>0</v>
      </c>
      <c r="N1042" s="199">
        <f t="shared" si="295"/>
        <v>0</v>
      </c>
      <c r="O1042" s="199">
        <f t="shared" si="295"/>
        <v>0</v>
      </c>
      <c r="P1042" s="199">
        <f t="shared" si="295"/>
        <v>0</v>
      </c>
      <c r="Q1042" s="199">
        <f t="shared" si="295"/>
        <v>0</v>
      </c>
      <c r="AC1042" s="54"/>
      <c r="AG1042" s="62" t="str">
        <f t="shared" si="296"/>
        <v>Hide Row</v>
      </c>
    </row>
    <row r="1043" spans="1:33" hidden="1">
      <c r="C1043" s="58" t="s">
        <v>361</v>
      </c>
      <c r="E1043" s="199">
        <f t="shared" si="295"/>
        <v>0</v>
      </c>
      <c r="F1043" s="199">
        <f t="shared" si="295"/>
        <v>0</v>
      </c>
      <c r="G1043" s="199">
        <f t="shared" si="295"/>
        <v>0</v>
      </c>
      <c r="H1043" s="199">
        <f t="shared" si="295"/>
        <v>0</v>
      </c>
      <c r="I1043" s="199">
        <f t="shared" si="295"/>
        <v>0</v>
      </c>
      <c r="J1043" s="199">
        <f t="shared" si="295"/>
        <v>0</v>
      </c>
      <c r="K1043" s="199">
        <f t="shared" si="295"/>
        <v>0</v>
      </c>
      <c r="L1043" s="199">
        <f t="shared" si="295"/>
        <v>0</v>
      </c>
      <c r="M1043" s="199">
        <f t="shared" si="295"/>
        <v>0</v>
      </c>
      <c r="N1043" s="199">
        <f t="shared" si="295"/>
        <v>0</v>
      </c>
      <c r="O1043" s="199">
        <f t="shared" si="295"/>
        <v>0</v>
      </c>
      <c r="P1043" s="199">
        <f t="shared" si="295"/>
        <v>0</v>
      </c>
      <c r="Q1043" s="199">
        <f t="shared" si="295"/>
        <v>0</v>
      </c>
      <c r="AC1043" s="54"/>
      <c r="AG1043" s="62" t="str">
        <f t="shared" si="296"/>
        <v>Hide Row</v>
      </c>
    </row>
    <row r="1044" spans="1:33" hidden="1">
      <c r="C1044" s="58">
        <v>0</v>
      </c>
      <c r="E1044" s="199">
        <f t="shared" si="295"/>
        <v>0</v>
      </c>
      <c r="F1044" s="199">
        <f t="shared" si="295"/>
        <v>0</v>
      </c>
      <c r="G1044" s="199">
        <f t="shared" si="295"/>
        <v>0</v>
      </c>
      <c r="H1044" s="199">
        <f t="shared" si="295"/>
        <v>0</v>
      </c>
      <c r="I1044" s="199">
        <f t="shared" si="295"/>
        <v>0</v>
      </c>
      <c r="J1044" s="199">
        <f t="shared" si="295"/>
        <v>0</v>
      </c>
      <c r="K1044" s="199">
        <f t="shared" si="295"/>
        <v>0</v>
      </c>
      <c r="L1044" s="199">
        <f t="shared" si="295"/>
        <v>0</v>
      </c>
      <c r="M1044" s="199">
        <f t="shared" si="295"/>
        <v>0</v>
      </c>
      <c r="N1044" s="199">
        <f t="shared" si="295"/>
        <v>0</v>
      </c>
      <c r="O1044" s="199">
        <f t="shared" si="295"/>
        <v>0</v>
      </c>
      <c r="P1044" s="199">
        <f t="shared" si="295"/>
        <v>0</v>
      </c>
      <c r="Q1044" s="199">
        <f t="shared" si="295"/>
        <v>0</v>
      </c>
      <c r="AC1044" s="54"/>
      <c r="AG1044" s="62" t="str">
        <f t="shared" si="296"/>
        <v>Hide Row</v>
      </c>
    </row>
    <row r="1045" spans="1:33">
      <c r="C1045" s="58"/>
      <c r="E1045" s="199"/>
      <c r="F1045" s="199"/>
      <c r="G1045" s="199"/>
      <c r="H1045" s="199"/>
      <c r="I1045" s="199"/>
      <c r="J1045" s="199"/>
      <c r="K1045" s="199"/>
      <c r="L1045" s="199"/>
      <c r="M1045" s="199"/>
      <c r="N1045" s="199"/>
      <c r="O1045" s="199"/>
      <c r="P1045" s="199"/>
      <c r="Q1045" s="199"/>
      <c r="AC1045" s="54"/>
      <c r="AG1045" s="64"/>
    </row>
    <row r="1046" spans="1:33">
      <c r="B1046" s="51" t="str">
        <f>B508</f>
        <v>Mid-Columbia Contracts Total</v>
      </c>
      <c r="C1046" s="58"/>
      <c r="E1046" s="199">
        <f t="shared" ref="E1046:Q1046" si="297">IF(E508=0,0,E178/E508)</f>
        <v>0.44672788151788234</v>
      </c>
      <c r="F1046" s="199">
        <f t="shared" si="297"/>
        <v>0.8418839773820237</v>
      </c>
      <c r="G1046" s="199">
        <f t="shared" si="297"/>
        <v>0.74018599505784166</v>
      </c>
      <c r="H1046" s="199">
        <f t="shared" si="297"/>
        <v>0.75820759055862852</v>
      </c>
      <c r="I1046" s="199">
        <f t="shared" si="297"/>
        <v>0.77030641705860059</v>
      </c>
      <c r="J1046" s="199">
        <f t="shared" si="297"/>
        <v>1.0177604851790836</v>
      </c>
      <c r="K1046" s="199">
        <f t="shared" si="297"/>
        <v>1.665051500021214</v>
      </c>
      <c r="L1046" s="199">
        <f t="shared" si="297"/>
        <v>1.4412572903592882</v>
      </c>
      <c r="M1046" s="199">
        <f t="shared" si="297"/>
        <v>1.2943126378888217</v>
      </c>
      <c r="N1046" s="199">
        <f t="shared" si="297"/>
        <v>1.1222615203787913</v>
      </c>
      <c r="O1046" s="199">
        <f t="shared" si="297"/>
        <v>-0.9728826228350701</v>
      </c>
      <c r="P1046" s="199">
        <f t="shared" si="297"/>
        <v>-1.3312598877601802</v>
      </c>
      <c r="Q1046" s="199">
        <f t="shared" si="297"/>
        <v>-1.3490388645103248</v>
      </c>
      <c r="AC1046" s="54"/>
    </row>
    <row r="1047" spans="1:33">
      <c r="C1047" s="58"/>
      <c r="E1047" s="199"/>
      <c r="F1047" s="199"/>
      <c r="G1047" s="199"/>
      <c r="H1047" s="199"/>
      <c r="I1047" s="199"/>
      <c r="J1047" s="199"/>
      <c r="K1047" s="199"/>
      <c r="L1047" s="199"/>
      <c r="M1047" s="199"/>
      <c r="N1047" s="199"/>
      <c r="O1047" s="199"/>
      <c r="P1047" s="199"/>
      <c r="Q1047" s="199"/>
      <c r="AC1047" s="54"/>
    </row>
    <row r="1048" spans="1:33">
      <c r="A1048" s="71"/>
      <c r="B1048" s="51" t="str">
        <f>B535</f>
        <v>Short Term Firm Purchases</v>
      </c>
      <c r="C1048" s="58"/>
      <c r="D1048" s="64"/>
      <c r="E1048" s="199"/>
      <c r="F1048" s="199"/>
      <c r="G1048" s="199"/>
      <c r="H1048" s="199"/>
      <c r="I1048" s="199"/>
      <c r="J1048" s="199"/>
      <c r="K1048" s="199"/>
      <c r="L1048" s="199"/>
      <c r="M1048" s="199"/>
      <c r="N1048" s="199"/>
      <c r="O1048" s="199"/>
      <c r="P1048" s="199"/>
      <c r="Q1048" s="199"/>
      <c r="AC1048" s="54"/>
    </row>
    <row r="1049" spans="1:33">
      <c r="A1049" s="71"/>
      <c r="B1049" s="64"/>
      <c r="C1049" s="58" t="s">
        <v>90</v>
      </c>
      <c r="D1049" s="64"/>
      <c r="E1049" s="199">
        <f t="shared" ref="E1049:Q1062" si="298">IF(E536=0,0,E206/E536)</f>
        <v>0</v>
      </c>
      <c r="F1049" s="199">
        <f t="shared" si="298"/>
        <v>0</v>
      </c>
      <c r="G1049" s="199">
        <f t="shared" si="298"/>
        <v>0</v>
      </c>
      <c r="H1049" s="199">
        <f t="shared" si="298"/>
        <v>0</v>
      </c>
      <c r="I1049" s="199">
        <f t="shared" si="298"/>
        <v>0</v>
      </c>
      <c r="J1049" s="199">
        <f t="shared" si="298"/>
        <v>0</v>
      </c>
      <c r="K1049" s="199">
        <f t="shared" si="298"/>
        <v>0</v>
      </c>
      <c r="L1049" s="199">
        <f t="shared" si="298"/>
        <v>0</v>
      </c>
      <c r="M1049" s="199">
        <f t="shared" si="298"/>
        <v>0</v>
      </c>
      <c r="N1049" s="199">
        <f t="shared" si="298"/>
        <v>0</v>
      </c>
      <c r="O1049" s="199">
        <f t="shared" si="298"/>
        <v>0</v>
      </c>
      <c r="P1049" s="199">
        <f t="shared" si="298"/>
        <v>0</v>
      </c>
      <c r="Q1049" s="199">
        <f t="shared" si="298"/>
        <v>0</v>
      </c>
      <c r="AC1049" s="54"/>
      <c r="AG1049" s="62" t="str">
        <f t="shared" ref="AG1049:AG1065" si="299">AG536</f>
        <v/>
      </c>
    </row>
    <row r="1050" spans="1:33" hidden="1">
      <c r="A1050" s="71"/>
      <c r="B1050" s="64"/>
      <c r="C1050" s="58" t="s">
        <v>91</v>
      </c>
      <c r="D1050" s="64"/>
      <c r="E1050" s="199">
        <f t="shared" si="298"/>
        <v>0</v>
      </c>
      <c r="F1050" s="199">
        <f t="shared" si="298"/>
        <v>0</v>
      </c>
      <c r="G1050" s="199">
        <f t="shared" si="298"/>
        <v>0</v>
      </c>
      <c r="H1050" s="199">
        <f t="shared" si="298"/>
        <v>0</v>
      </c>
      <c r="I1050" s="199">
        <f t="shared" si="298"/>
        <v>0</v>
      </c>
      <c r="J1050" s="199">
        <f t="shared" si="298"/>
        <v>0</v>
      </c>
      <c r="K1050" s="199">
        <f t="shared" si="298"/>
        <v>0</v>
      </c>
      <c r="L1050" s="199">
        <f t="shared" si="298"/>
        <v>0</v>
      </c>
      <c r="M1050" s="199">
        <f t="shared" si="298"/>
        <v>0</v>
      </c>
      <c r="N1050" s="199">
        <f t="shared" si="298"/>
        <v>0</v>
      </c>
      <c r="O1050" s="199">
        <f t="shared" si="298"/>
        <v>0</v>
      </c>
      <c r="P1050" s="199">
        <f t="shared" si="298"/>
        <v>0</v>
      </c>
      <c r="Q1050" s="199">
        <f t="shared" si="298"/>
        <v>0</v>
      </c>
      <c r="AC1050" s="54"/>
      <c r="AG1050" s="62" t="str">
        <f t="shared" si="299"/>
        <v>Hide Row</v>
      </c>
    </row>
    <row r="1051" spans="1:33" s="64" customFormat="1">
      <c r="A1051" s="71"/>
      <c r="C1051" s="58" t="s">
        <v>93</v>
      </c>
      <c r="E1051" s="199">
        <f t="shared" si="298"/>
        <v>0</v>
      </c>
      <c r="F1051" s="199">
        <f t="shared" si="298"/>
        <v>0</v>
      </c>
      <c r="G1051" s="199">
        <f t="shared" si="298"/>
        <v>0</v>
      </c>
      <c r="H1051" s="199">
        <f t="shared" si="298"/>
        <v>0</v>
      </c>
      <c r="I1051" s="199">
        <f t="shared" si="298"/>
        <v>0</v>
      </c>
      <c r="J1051" s="199">
        <f t="shared" si="298"/>
        <v>0</v>
      </c>
      <c r="K1051" s="199">
        <f t="shared" si="298"/>
        <v>0</v>
      </c>
      <c r="L1051" s="199">
        <f t="shared" si="298"/>
        <v>0</v>
      </c>
      <c r="M1051" s="199">
        <f t="shared" si="298"/>
        <v>0</v>
      </c>
      <c r="N1051" s="199">
        <f t="shared" si="298"/>
        <v>0</v>
      </c>
      <c r="O1051" s="199">
        <f t="shared" si="298"/>
        <v>0</v>
      </c>
      <c r="P1051" s="199">
        <f t="shared" si="298"/>
        <v>0</v>
      </c>
      <c r="Q1051" s="199">
        <f t="shared" si="298"/>
        <v>0</v>
      </c>
      <c r="R1051" s="53"/>
      <c r="T1051" s="54"/>
      <c r="U1051" s="51"/>
      <c r="V1051" s="51"/>
      <c r="W1051" s="51"/>
      <c r="X1051" s="51"/>
      <c r="Y1051" s="51"/>
      <c r="Z1051" s="51"/>
      <c r="AA1051" s="51"/>
      <c r="AB1051" s="51"/>
      <c r="AC1051" s="54"/>
      <c r="AD1051" s="51"/>
      <c r="AE1051" s="51"/>
      <c r="AF1051" s="51"/>
      <c r="AG1051" s="62" t="str">
        <f t="shared" si="299"/>
        <v>Hide Row</v>
      </c>
    </row>
    <row r="1052" spans="1:33" s="64" customFormat="1" hidden="1">
      <c r="A1052" s="71"/>
      <c r="C1052" s="58" t="s">
        <v>95</v>
      </c>
      <c r="E1052" s="199">
        <f t="shared" si="298"/>
        <v>0</v>
      </c>
      <c r="F1052" s="199">
        <f t="shared" si="298"/>
        <v>0</v>
      </c>
      <c r="G1052" s="199">
        <f t="shared" si="298"/>
        <v>0</v>
      </c>
      <c r="H1052" s="199">
        <f t="shared" si="298"/>
        <v>0</v>
      </c>
      <c r="I1052" s="199">
        <f t="shared" si="298"/>
        <v>0</v>
      </c>
      <c r="J1052" s="199">
        <f t="shared" si="298"/>
        <v>0</v>
      </c>
      <c r="K1052" s="199">
        <f t="shared" si="298"/>
        <v>0</v>
      </c>
      <c r="L1052" s="199">
        <f t="shared" si="298"/>
        <v>0</v>
      </c>
      <c r="M1052" s="199">
        <f t="shared" si="298"/>
        <v>0</v>
      </c>
      <c r="N1052" s="199">
        <f t="shared" si="298"/>
        <v>0</v>
      </c>
      <c r="O1052" s="199">
        <f t="shared" si="298"/>
        <v>0</v>
      </c>
      <c r="P1052" s="199">
        <f t="shared" si="298"/>
        <v>0</v>
      </c>
      <c r="Q1052" s="199">
        <f t="shared" si="298"/>
        <v>0</v>
      </c>
      <c r="R1052" s="53"/>
      <c r="T1052" s="54"/>
      <c r="U1052" s="51"/>
      <c r="V1052" s="51"/>
      <c r="W1052" s="51"/>
      <c r="X1052" s="51"/>
      <c r="Y1052" s="51"/>
      <c r="Z1052" s="51"/>
      <c r="AA1052" s="51"/>
      <c r="AB1052" s="51"/>
      <c r="AC1052" s="54"/>
      <c r="AD1052" s="51"/>
      <c r="AE1052" s="51"/>
      <c r="AF1052" s="51"/>
      <c r="AG1052" s="62" t="str">
        <f t="shared" si="299"/>
        <v>Hide Row</v>
      </c>
    </row>
    <row r="1053" spans="1:33" s="64" customFormat="1" hidden="1">
      <c r="A1053" s="71"/>
      <c r="C1053" s="58" t="s">
        <v>100</v>
      </c>
      <c r="E1053" s="199">
        <f t="shared" si="298"/>
        <v>0</v>
      </c>
      <c r="F1053" s="199">
        <f t="shared" si="298"/>
        <v>0</v>
      </c>
      <c r="G1053" s="199">
        <f t="shared" si="298"/>
        <v>0</v>
      </c>
      <c r="H1053" s="199">
        <f t="shared" si="298"/>
        <v>0</v>
      </c>
      <c r="I1053" s="199">
        <f t="shared" si="298"/>
        <v>0</v>
      </c>
      <c r="J1053" s="199">
        <f t="shared" si="298"/>
        <v>0</v>
      </c>
      <c r="K1053" s="199">
        <f t="shared" si="298"/>
        <v>0</v>
      </c>
      <c r="L1053" s="199">
        <f t="shared" si="298"/>
        <v>0</v>
      </c>
      <c r="M1053" s="199">
        <f t="shared" si="298"/>
        <v>0</v>
      </c>
      <c r="N1053" s="199">
        <f t="shared" si="298"/>
        <v>0</v>
      </c>
      <c r="O1053" s="199">
        <f t="shared" si="298"/>
        <v>0</v>
      </c>
      <c r="P1053" s="199">
        <f t="shared" si="298"/>
        <v>0</v>
      </c>
      <c r="Q1053" s="199">
        <f t="shared" si="298"/>
        <v>0</v>
      </c>
      <c r="R1053" s="53"/>
      <c r="T1053" s="54"/>
      <c r="U1053" s="51"/>
      <c r="V1053" s="51"/>
      <c r="W1053" s="51"/>
      <c r="X1053" s="51"/>
      <c r="Y1053" s="51"/>
      <c r="Z1053" s="51"/>
      <c r="AA1053" s="51"/>
      <c r="AB1053" s="51"/>
      <c r="AC1053" s="54"/>
      <c r="AD1053" s="51"/>
      <c r="AE1053" s="51"/>
      <c r="AF1053" s="51"/>
      <c r="AG1053" s="62" t="str">
        <f t="shared" si="299"/>
        <v>Hide Row</v>
      </c>
    </row>
    <row r="1054" spans="1:33" s="64" customFormat="1">
      <c r="A1054" s="71"/>
      <c r="C1054" s="58" t="s">
        <v>101</v>
      </c>
      <c r="E1054" s="199">
        <f t="shared" si="298"/>
        <v>26.635220994475137</v>
      </c>
      <c r="F1054" s="199">
        <f t="shared" si="298"/>
        <v>24.984577922077921</v>
      </c>
      <c r="G1054" s="199">
        <f t="shared" si="298"/>
        <v>0</v>
      </c>
      <c r="H1054" s="199">
        <f t="shared" si="298"/>
        <v>0</v>
      </c>
      <c r="I1054" s="199">
        <f t="shared" si="298"/>
        <v>0</v>
      </c>
      <c r="J1054" s="199">
        <f t="shared" si="298"/>
        <v>0</v>
      </c>
      <c r="K1054" s="199">
        <f t="shared" si="298"/>
        <v>0</v>
      </c>
      <c r="L1054" s="199">
        <f t="shared" si="298"/>
        <v>36.049999999999997</v>
      </c>
      <c r="M1054" s="199">
        <f t="shared" si="298"/>
        <v>0</v>
      </c>
      <c r="N1054" s="199">
        <f t="shared" si="298"/>
        <v>0</v>
      </c>
      <c r="O1054" s="199">
        <f t="shared" si="298"/>
        <v>0</v>
      </c>
      <c r="P1054" s="199">
        <f t="shared" si="298"/>
        <v>0</v>
      </c>
      <c r="Q1054" s="199">
        <f t="shared" si="298"/>
        <v>0</v>
      </c>
      <c r="R1054" s="53"/>
      <c r="T1054" s="54"/>
      <c r="U1054" s="51"/>
      <c r="V1054" s="51"/>
      <c r="W1054" s="51"/>
      <c r="X1054" s="51"/>
      <c r="Y1054" s="51"/>
      <c r="Z1054" s="51"/>
      <c r="AA1054" s="51"/>
      <c r="AB1054" s="51"/>
      <c r="AC1054" s="54"/>
      <c r="AD1054" s="51"/>
      <c r="AE1054" s="51"/>
      <c r="AF1054" s="51"/>
      <c r="AG1054" s="62" t="str">
        <f t="shared" si="299"/>
        <v/>
      </c>
    </row>
    <row r="1055" spans="1:33" s="64" customFormat="1">
      <c r="A1055" s="71"/>
      <c r="C1055" s="58" t="s">
        <v>103</v>
      </c>
      <c r="E1055" s="199">
        <f t="shared" si="298"/>
        <v>0</v>
      </c>
      <c r="F1055" s="199">
        <f t="shared" si="298"/>
        <v>0</v>
      </c>
      <c r="G1055" s="199">
        <f t="shared" si="298"/>
        <v>0</v>
      </c>
      <c r="H1055" s="199">
        <f t="shared" si="298"/>
        <v>0</v>
      </c>
      <c r="I1055" s="199">
        <f t="shared" si="298"/>
        <v>0</v>
      </c>
      <c r="J1055" s="199">
        <f t="shared" si="298"/>
        <v>0</v>
      </c>
      <c r="K1055" s="199">
        <f t="shared" si="298"/>
        <v>0</v>
      </c>
      <c r="L1055" s="199">
        <f t="shared" si="298"/>
        <v>0</v>
      </c>
      <c r="M1055" s="199">
        <f t="shared" si="298"/>
        <v>0</v>
      </c>
      <c r="N1055" s="199">
        <f t="shared" si="298"/>
        <v>0</v>
      </c>
      <c r="O1055" s="199">
        <f t="shared" si="298"/>
        <v>0</v>
      </c>
      <c r="P1055" s="199">
        <f t="shared" si="298"/>
        <v>0</v>
      </c>
      <c r="Q1055" s="199">
        <f t="shared" si="298"/>
        <v>0</v>
      </c>
      <c r="R1055" s="53"/>
      <c r="T1055" s="54"/>
      <c r="U1055" s="51"/>
      <c r="V1055" s="51"/>
      <c r="W1055" s="51"/>
      <c r="X1055" s="51"/>
      <c r="Y1055" s="51"/>
      <c r="Z1055" s="51"/>
      <c r="AA1055" s="51"/>
      <c r="AB1055" s="51"/>
      <c r="AC1055" s="54"/>
      <c r="AD1055" s="51"/>
      <c r="AE1055" s="51"/>
      <c r="AF1055" s="51"/>
      <c r="AG1055" s="62" t="str">
        <f t="shared" si="299"/>
        <v>Hide Row</v>
      </c>
    </row>
    <row r="1056" spans="1:33" s="64" customFormat="1" hidden="1">
      <c r="A1056" s="71"/>
      <c r="C1056" s="58" t="s">
        <v>104</v>
      </c>
      <c r="E1056" s="199">
        <f t="shared" si="298"/>
        <v>0</v>
      </c>
      <c r="F1056" s="199">
        <f t="shared" si="298"/>
        <v>0</v>
      </c>
      <c r="G1056" s="199">
        <f t="shared" si="298"/>
        <v>0</v>
      </c>
      <c r="H1056" s="199">
        <f t="shared" si="298"/>
        <v>0</v>
      </c>
      <c r="I1056" s="199">
        <f t="shared" si="298"/>
        <v>0</v>
      </c>
      <c r="J1056" s="199">
        <f t="shared" si="298"/>
        <v>0</v>
      </c>
      <c r="K1056" s="199">
        <f t="shared" si="298"/>
        <v>0</v>
      </c>
      <c r="L1056" s="199">
        <f t="shared" si="298"/>
        <v>0</v>
      </c>
      <c r="M1056" s="199">
        <f t="shared" si="298"/>
        <v>0</v>
      </c>
      <c r="N1056" s="199">
        <f t="shared" si="298"/>
        <v>0</v>
      </c>
      <c r="O1056" s="199">
        <f t="shared" si="298"/>
        <v>0</v>
      </c>
      <c r="P1056" s="199">
        <f t="shared" si="298"/>
        <v>0</v>
      </c>
      <c r="Q1056" s="199">
        <f t="shared" si="298"/>
        <v>0</v>
      </c>
      <c r="R1056" s="53"/>
      <c r="T1056" s="54"/>
      <c r="U1056" s="51"/>
      <c r="V1056" s="51"/>
      <c r="W1056" s="51"/>
      <c r="X1056" s="51"/>
      <c r="Y1056" s="51"/>
      <c r="Z1056" s="51"/>
      <c r="AA1056" s="51"/>
      <c r="AB1056" s="51"/>
      <c r="AC1056" s="54"/>
      <c r="AD1056" s="51"/>
      <c r="AE1056" s="51"/>
      <c r="AF1056" s="51"/>
      <c r="AG1056" s="62" t="str">
        <f t="shared" si="299"/>
        <v>Hide Row</v>
      </c>
    </row>
    <row r="1057" spans="1:33" s="64" customFormat="1" hidden="1">
      <c r="A1057" s="71"/>
      <c r="C1057" s="58" t="s">
        <v>105</v>
      </c>
      <c r="E1057" s="199">
        <f t="shared" si="298"/>
        <v>0</v>
      </c>
      <c r="F1057" s="199">
        <f t="shared" si="298"/>
        <v>0</v>
      </c>
      <c r="G1057" s="199">
        <f t="shared" si="298"/>
        <v>0</v>
      </c>
      <c r="H1057" s="199">
        <f t="shared" si="298"/>
        <v>0</v>
      </c>
      <c r="I1057" s="199">
        <f t="shared" si="298"/>
        <v>0</v>
      </c>
      <c r="J1057" s="199">
        <f t="shared" si="298"/>
        <v>0</v>
      </c>
      <c r="K1057" s="199">
        <f t="shared" si="298"/>
        <v>0</v>
      </c>
      <c r="L1057" s="199">
        <f t="shared" si="298"/>
        <v>0</v>
      </c>
      <c r="M1057" s="199">
        <f t="shared" si="298"/>
        <v>0</v>
      </c>
      <c r="N1057" s="199">
        <f t="shared" si="298"/>
        <v>0</v>
      </c>
      <c r="O1057" s="199">
        <f t="shared" si="298"/>
        <v>0</v>
      </c>
      <c r="P1057" s="199">
        <f t="shared" si="298"/>
        <v>0</v>
      </c>
      <c r="Q1057" s="199">
        <f t="shared" si="298"/>
        <v>0</v>
      </c>
      <c r="R1057" s="53"/>
      <c r="T1057" s="54"/>
      <c r="U1057" s="51"/>
      <c r="V1057" s="51"/>
      <c r="W1057" s="51"/>
      <c r="X1057" s="51"/>
      <c r="Y1057" s="51"/>
      <c r="Z1057" s="51"/>
      <c r="AA1057" s="51"/>
      <c r="AB1057" s="51"/>
      <c r="AC1057" s="54"/>
      <c r="AD1057" s="51"/>
      <c r="AE1057" s="51"/>
      <c r="AF1057" s="51"/>
      <c r="AG1057" s="62" t="str">
        <f t="shared" si="299"/>
        <v>Hide Row</v>
      </c>
    </row>
    <row r="1058" spans="1:33" s="64" customFormat="1" hidden="1">
      <c r="A1058" s="71"/>
      <c r="C1058" s="58" t="s">
        <v>108</v>
      </c>
      <c r="E1058" s="199">
        <f t="shared" si="298"/>
        <v>0</v>
      </c>
      <c r="F1058" s="199">
        <f t="shared" si="298"/>
        <v>0</v>
      </c>
      <c r="G1058" s="199">
        <f t="shared" si="298"/>
        <v>0</v>
      </c>
      <c r="H1058" s="199">
        <f t="shared" si="298"/>
        <v>0</v>
      </c>
      <c r="I1058" s="199">
        <f t="shared" si="298"/>
        <v>0</v>
      </c>
      <c r="J1058" s="199">
        <f t="shared" si="298"/>
        <v>0</v>
      </c>
      <c r="K1058" s="199">
        <f t="shared" si="298"/>
        <v>0</v>
      </c>
      <c r="L1058" s="199">
        <f t="shared" si="298"/>
        <v>0</v>
      </c>
      <c r="M1058" s="199">
        <f t="shared" si="298"/>
        <v>0</v>
      </c>
      <c r="N1058" s="199">
        <f t="shared" si="298"/>
        <v>0</v>
      </c>
      <c r="O1058" s="199">
        <f t="shared" si="298"/>
        <v>0</v>
      </c>
      <c r="P1058" s="199">
        <f t="shared" si="298"/>
        <v>0</v>
      </c>
      <c r="Q1058" s="199">
        <f t="shared" si="298"/>
        <v>0</v>
      </c>
      <c r="R1058" s="53"/>
      <c r="T1058" s="54"/>
      <c r="U1058" s="51"/>
      <c r="V1058" s="51"/>
      <c r="W1058" s="51"/>
      <c r="X1058" s="51"/>
      <c r="Y1058" s="51"/>
      <c r="Z1058" s="51"/>
      <c r="AA1058" s="51"/>
      <c r="AB1058" s="51"/>
      <c r="AC1058" s="54"/>
      <c r="AD1058" s="51"/>
      <c r="AE1058" s="51"/>
      <c r="AF1058" s="51"/>
      <c r="AG1058" s="62" t="str">
        <f t="shared" si="299"/>
        <v>Hide Row</v>
      </c>
    </row>
    <row r="1059" spans="1:33" s="64" customFormat="1" hidden="1">
      <c r="A1059" s="71"/>
      <c r="C1059" s="58" t="s">
        <v>109</v>
      </c>
      <c r="E1059" s="199">
        <f t="shared" si="298"/>
        <v>0</v>
      </c>
      <c r="F1059" s="199">
        <f t="shared" si="298"/>
        <v>0</v>
      </c>
      <c r="G1059" s="199">
        <f t="shared" si="298"/>
        <v>0</v>
      </c>
      <c r="H1059" s="199">
        <f t="shared" si="298"/>
        <v>0</v>
      </c>
      <c r="I1059" s="199">
        <f t="shared" si="298"/>
        <v>0</v>
      </c>
      <c r="J1059" s="199">
        <f t="shared" si="298"/>
        <v>0</v>
      </c>
      <c r="K1059" s="199">
        <f t="shared" si="298"/>
        <v>0</v>
      </c>
      <c r="L1059" s="199">
        <f t="shared" si="298"/>
        <v>0</v>
      </c>
      <c r="M1059" s="199">
        <f t="shared" si="298"/>
        <v>0</v>
      </c>
      <c r="N1059" s="199">
        <f t="shared" si="298"/>
        <v>0</v>
      </c>
      <c r="O1059" s="199">
        <f t="shared" si="298"/>
        <v>0</v>
      </c>
      <c r="P1059" s="199">
        <f t="shared" si="298"/>
        <v>0</v>
      </c>
      <c r="Q1059" s="199">
        <f t="shared" si="298"/>
        <v>0</v>
      </c>
      <c r="R1059" s="53"/>
      <c r="T1059" s="54"/>
      <c r="U1059" s="51"/>
      <c r="V1059" s="51"/>
      <c r="W1059" s="51"/>
      <c r="X1059" s="51"/>
      <c r="Y1059" s="51"/>
      <c r="Z1059" s="51"/>
      <c r="AA1059" s="51"/>
      <c r="AB1059" s="51"/>
      <c r="AC1059" s="54"/>
      <c r="AD1059" s="51"/>
      <c r="AE1059" s="51"/>
      <c r="AF1059" s="51"/>
      <c r="AG1059" s="62" t="str">
        <f t="shared" si="299"/>
        <v>Hide Row</v>
      </c>
    </row>
    <row r="1060" spans="1:33" s="64" customFormat="1" hidden="1">
      <c r="A1060" s="71"/>
      <c r="C1060" s="58" t="s">
        <v>10</v>
      </c>
      <c r="E1060" s="199">
        <f t="shared" si="298"/>
        <v>0</v>
      </c>
      <c r="F1060" s="199">
        <f t="shared" si="298"/>
        <v>0</v>
      </c>
      <c r="G1060" s="199">
        <f t="shared" si="298"/>
        <v>0</v>
      </c>
      <c r="H1060" s="199">
        <f t="shared" si="298"/>
        <v>0</v>
      </c>
      <c r="I1060" s="199">
        <f t="shared" si="298"/>
        <v>0</v>
      </c>
      <c r="J1060" s="199">
        <f t="shared" si="298"/>
        <v>0</v>
      </c>
      <c r="K1060" s="199">
        <f t="shared" si="298"/>
        <v>0</v>
      </c>
      <c r="L1060" s="199">
        <f t="shared" si="298"/>
        <v>0</v>
      </c>
      <c r="M1060" s="199">
        <f t="shared" si="298"/>
        <v>0</v>
      </c>
      <c r="N1060" s="199">
        <f t="shared" si="298"/>
        <v>0</v>
      </c>
      <c r="O1060" s="199">
        <f t="shared" si="298"/>
        <v>0</v>
      </c>
      <c r="P1060" s="199">
        <f t="shared" si="298"/>
        <v>0</v>
      </c>
      <c r="Q1060" s="199">
        <f t="shared" si="298"/>
        <v>0</v>
      </c>
      <c r="R1060" s="53"/>
      <c r="T1060" s="54"/>
      <c r="U1060" s="51"/>
      <c r="V1060" s="51"/>
      <c r="W1060" s="51"/>
      <c r="X1060" s="51"/>
      <c r="Y1060" s="51"/>
      <c r="Z1060" s="51"/>
      <c r="AA1060" s="51"/>
      <c r="AB1060" s="51"/>
      <c r="AC1060" s="54"/>
      <c r="AD1060" s="51"/>
      <c r="AE1060" s="51"/>
      <c r="AF1060" s="51"/>
      <c r="AG1060" s="62" t="str">
        <f t="shared" si="299"/>
        <v>Hide Row</v>
      </c>
    </row>
    <row r="1061" spans="1:33" s="64" customFormat="1" hidden="1">
      <c r="A1061" s="71"/>
      <c r="C1061" s="58" t="s">
        <v>118</v>
      </c>
      <c r="E1061" s="199">
        <f t="shared" si="298"/>
        <v>0</v>
      </c>
      <c r="F1061" s="199">
        <f t="shared" si="298"/>
        <v>0</v>
      </c>
      <c r="G1061" s="199">
        <f t="shared" si="298"/>
        <v>0</v>
      </c>
      <c r="H1061" s="199">
        <f t="shared" si="298"/>
        <v>0</v>
      </c>
      <c r="I1061" s="199">
        <f t="shared" si="298"/>
        <v>0</v>
      </c>
      <c r="J1061" s="199">
        <f t="shared" si="298"/>
        <v>0</v>
      </c>
      <c r="K1061" s="199">
        <f t="shared" si="298"/>
        <v>0</v>
      </c>
      <c r="L1061" s="199">
        <f t="shared" si="298"/>
        <v>0</v>
      </c>
      <c r="M1061" s="199">
        <f t="shared" si="298"/>
        <v>0</v>
      </c>
      <c r="N1061" s="199">
        <f t="shared" si="298"/>
        <v>0</v>
      </c>
      <c r="O1061" s="199">
        <f t="shared" si="298"/>
        <v>0</v>
      </c>
      <c r="P1061" s="199">
        <f t="shared" si="298"/>
        <v>0</v>
      </c>
      <c r="Q1061" s="199">
        <f t="shared" si="298"/>
        <v>0</v>
      </c>
      <c r="R1061" s="53"/>
      <c r="T1061" s="54"/>
      <c r="U1061" s="51"/>
      <c r="V1061" s="51"/>
      <c r="W1061" s="51"/>
      <c r="X1061" s="51"/>
      <c r="Y1061" s="51"/>
      <c r="Z1061" s="51"/>
      <c r="AA1061" s="51"/>
      <c r="AB1061" s="51"/>
      <c r="AC1061" s="54"/>
      <c r="AD1061" s="51"/>
      <c r="AE1061" s="51"/>
      <c r="AF1061" s="51"/>
      <c r="AG1061" s="62" t="str">
        <f t="shared" si="299"/>
        <v>Hide Row</v>
      </c>
    </row>
    <row r="1062" spans="1:33" s="64" customFormat="1" hidden="1">
      <c r="A1062" s="71"/>
      <c r="C1062" s="58" t="s">
        <v>122</v>
      </c>
      <c r="E1062" s="199">
        <f t="shared" si="298"/>
        <v>0</v>
      </c>
      <c r="F1062" s="199">
        <f t="shared" si="298"/>
        <v>0</v>
      </c>
      <c r="G1062" s="199">
        <f t="shared" si="298"/>
        <v>0</v>
      </c>
      <c r="H1062" s="199">
        <f t="shared" si="298"/>
        <v>0</v>
      </c>
      <c r="I1062" s="199">
        <f t="shared" si="298"/>
        <v>0</v>
      </c>
      <c r="J1062" s="199">
        <f t="shared" si="298"/>
        <v>0</v>
      </c>
      <c r="K1062" s="199">
        <f t="shared" si="298"/>
        <v>0</v>
      </c>
      <c r="L1062" s="199">
        <f t="shared" si="298"/>
        <v>0</v>
      </c>
      <c r="M1062" s="199">
        <f t="shared" si="298"/>
        <v>0</v>
      </c>
      <c r="N1062" s="199">
        <f t="shared" si="298"/>
        <v>0</v>
      </c>
      <c r="O1062" s="199">
        <f t="shared" si="298"/>
        <v>0</v>
      </c>
      <c r="P1062" s="199">
        <f t="shared" si="298"/>
        <v>0</v>
      </c>
      <c r="Q1062" s="199">
        <f t="shared" si="298"/>
        <v>0</v>
      </c>
      <c r="R1062" s="53"/>
      <c r="T1062" s="54"/>
      <c r="U1062" s="51"/>
      <c r="V1062" s="51"/>
      <c r="W1062" s="51"/>
      <c r="X1062" s="51"/>
      <c r="Y1062" s="51"/>
      <c r="Z1062" s="51"/>
      <c r="AA1062" s="51"/>
      <c r="AB1062" s="51"/>
      <c r="AC1062" s="54"/>
      <c r="AD1062" s="51"/>
      <c r="AE1062" s="51"/>
      <c r="AF1062" s="51"/>
      <c r="AG1062" s="62" t="str">
        <f t="shared" si="299"/>
        <v>Hide Row</v>
      </c>
    </row>
    <row r="1063" spans="1:33" s="64" customFormat="1" hidden="1">
      <c r="A1063" s="71"/>
      <c r="C1063" s="58"/>
      <c r="E1063" s="199"/>
      <c r="F1063" s="199"/>
      <c r="G1063" s="199"/>
      <c r="H1063" s="199"/>
      <c r="I1063" s="199"/>
      <c r="J1063" s="199"/>
      <c r="K1063" s="199"/>
      <c r="L1063" s="199"/>
      <c r="M1063" s="199"/>
      <c r="N1063" s="199"/>
      <c r="O1063" s="199"/>
      <c r="P1063" s="199"/>
      <c r="Q1063" s="199"/>
      <c r="R1063" s="53"/>
      <c r="T1063" s="54"/>
      <c r="U1063" s="51"/>
      <c r="V1063" s="51"/>
      <c r="W1063" s="51"/>
      <c r="X1063" s="51"/>
      <c r="Y1063" s="51"/>
      <c r="Z1063" s="51"/>
      <c r="AA1063" s="51"/>
      <c r="AB1063" s="51"/>
      <c r="AC1063" s="54"/>
      <c r="AD1063" s="51"/>
      <c r="AE1063" s="51"/>
      <c r="AF1063" s="51"/>
      <c r="AG1063" s="62" t="str">
        <f t="shared" si="299"/>
        <v>Hide Row</v>
      </c>
    </row>
    <row r="1064" spans="1:33" s="64" customFormat="1" hidden="1">
      <c r="A1064" s="71"/>
      <c r="C1064" s="58"/>
      <c r="E1064" s="199"/>
      <c r="F1064" s="199"/>
      <c r="G1064" s="199"/>
      <c r="H1064" s="199"/>
      <c r="I1064" s="199"/>
      <c r="J1064" s="199"/>
      <c r="K1064" s="199"/>
      <c r="L1064" s="199"/>
      <c r="M1064" s="199"/>
      <c r="N1064" s="199"/>
      <c r="O1064" s="199"/>
      <c r="P1064" s="199"/>
      <c r="Q1064" s="199"/>
      <c r="R1064" s="53"/>
      <c r="T1064" s="54"/>
      <c r="U1064" s="51"/>
      <c r="V1064" s="51"/>
      <c r="W1064" s="51"/>
      <c r="X1064" s="51"/>
      <c r="Y1064" s="51"/>
      <c r="Z1064" s="51"/>
      <c r="AA1064" s="51"/>
      <c r="AB1064" s="51"/>
      <c r="AC1064" s="54"/>
      <c r="AD1064" s="51"/>
      <c r="AE1064" s="51"/>
      <c r="AF1064" s="51"/>
      <c r="AG1064" s="62" t="str">
        <f t="shared" si="299"/>
        <v>Hide Row</v>
      </c>
    </row>
    <row r="1065" spans="1:33" s="64" customFormat="1" hidden="1">
      <c r="A1065" s="71"/>
      <c r="C1065" s="58" t="s">
        <v>132</v>
      </c>
      <c r="E1065" s="199">
        <f t="shared" ref="E1065:Q1065" si="300">IF(E552=0,0,E223/E552)</f>
        <v>0</v>
      </c>
      <c r="F1065" s="199">
        <f t="shared" si="300"/>
        <v>0</v>
      </c>
      <c r="G1065" s="199">
        <f t="shared" si="300"/>
        <v>0</v>
      </c>
      <c r="H1065" s="199">
        <f t="shared" si="300"/>
        <v>0</v>
      </c>
      <c r="I1065" s="199">
        <f t="shared" si="300"/>
        <v>0</v>
      </c>
      <c r="J1065" s="199">
        <f t="shared" si="300"/>
        <v>0</v>
      </c>
      <c r="K1065" s="199">
        <f t="shared" si="300"/>
        <v>0</v>
      </c>
      <c r="L1065" s="199">
        <f t="shared" si="300"/>
        <v>0</v>
      </c>
      <c r="M1065" s="199">
        <f t="shared" si="300"/>
        <v>0</v>
      </c>
      <c r="N1065" s="199">
        <f t="shared" si="300"/>
        <v>0</v>
      </c>
      <c r="O1065" s="199">
        <f t="shared" si="300"/>
        <v>0</v>
      </c>
      <c r="P1065" s="199">
        <f t="shared" si="300"/>
        <v>0</v>
      </c>
      <c r="Q1065" s="199">
        <f t="shared" si="300"/>
        <v>0</v>
      </c>
      <c r="R1065" s="53"/>
      <c r="T1065" s="54"/>
      <c r="U1065" s="51"/>
      <c r="V1065" s="51"/>
      <c r="W1065" s="51"/>
      <c r="X1065" s="51"/>
      <c r="Y1065" s="51"/>
      <c r="Z1065" s="51"/>
      <c r="AA1065" s="51"/>
      <c r="AB1065" s="51"/>
      <c r="AC1065" s="54"/>
      <c r="AD1065" s="51"/>
      <c r="AE1065" s="51"/>
      <c r="AF1065" s="51"/>
      <c r="AG1065" s="62" t="str">
        <f t="shared" si="299"/>
        <v>Hide Row</v>
      </c>
    </row>
    <row r="1066" spans="1:33" s="64" customFormat="1">
      <c r="A1066" s="71"/>
      <c r="C1066" s="58"/>
      <c r="E1066" s="199"/>
      <c r="F1066" s="199"/>
      <c r="G1066" s="199"/>
      <c r="H1066" s="199"/>
      <c r="I1066" s="199"/>
      <c r="J1066" s="199"/>
      <c r="K1066" s="199"/>
      <c r="L1066" s="199"/>
      <c r="M1066" s="199"/>
      <c r="N1066" s="199"/>
      <c r="O1066" s="199"/>
      <c r="P1066" s="199"/>
      <c r="Q1066" s="199"/>
      <c r="R1066" s="53"/>
      <c r="T1066" s="54"/>
      <c r="U1066" s="51"/>
      <c r="V1066" s="51"/>
      <c r="W1066" s="51"/>
      <c r="X1066" s="51"/>
      <c r="Y1066" s="51"/>
      <c r="Z1066" s="51"/>
      <c r="AA1066" s="51"/>
      <c r="AB1066" s="51"/>
      <c r="AC1066" s="54"/>
      <c r="AD1066" s="51"/>
      <c r="AE1066" s="51"/>
      <c r="AF1066" s="51"/>
    </row>
    <row r="1067" spans="1:33" s="64" customFormat="1">
      <c r="A1067" s="71"/>
      <c r="B1067" s="51" t="str">
        <f>B554</f>
        <v>Total Short Term Firm Purchases</v>
      </c>
      <c r="C1067" s="58"/>
      <c r="E1067" s="199">
        <f t="shared" ref="E1067:Q1067" si="301">IF(E554=0,0,(E225-E222)/E554)</f>
        <v>26.635220994475137</v>
      </c>
      <c r="F1067" s="199">
        <f t="shared" si="301"/>
        <v>24.984577922077921</v>
      </c>
      <c r="G1067" s="199">
        <f t="shared" si="301"/>
        <v>0</v>
      </c>
      <c r="H1067" s="199">
        <f t="shared" si="301"/>
        <v>0</v>
      </c>
      <c r="I1067" s="199">
        <f t="shared" si="301"/>
        <v>0</v>
      </c>
      <c r="J1067" s="199">
        <f t="shared" si="301"/>
        <v>0</v>
      </c>
      <c r="K1067" s="199">
        <f t="shared" si="301"/>
        <v>0</v>
      </c>
      <c r="L1067" s="199">
        <f t="shared" si="301"/>
        <v>36.049999999999997</v>
      </c>
      <c r="M1067" s="199">
        <f t="shared" si="301"/>
        <v>0</v>
      </c>
      <c r="N1067" s="199">
        <f t="shared" si="301"/>
        <v>0</v>
      </c>
      <c r="O1067" s="199">
        <f t="shared" si="301"/>
        <v>0</v>
      </c>
      <c r="P1067" s="199">
        <f t="shared" si="301"/>
        <v>0</v>
      </c>
      <c r="Q1067" s="199">
        <f t="shared" si="301"/>
        <v>0</v>
      </c>
      <c r="R1067" s="53"/>
      <c r="T1067" s="54"/>
      <c r="U1067" s="51"/>
      <c r="V1067" s="51"/>
      <c r="W1067" s="51"/>
      <c r="X1067" s="51"/>
      <c r="Y1067" s="51"/>
      <c r="Z1067" s="51"/>
      <c r="AA1067" s="51"/>
      <c r="AB1067" s="51"/>
      <c r="AC1067" s="54"/>
      <c r="AD1067" s="51"/>
      <c r="AE1067" s="51"/>
      <c r="AF1067" s="51"/>
    </row>
    <row r="1068" spans="1:33" s="64" customFormat="1">
      <c r="A1068" s="71"/>
      <c r="C1068" s="58"/>
      <c r="E1068" s="199"/>
      <c r="F1068" s="199"/>
      <c r="G1068" s="199"/>
      <c r="H1068" s="199"/>
      <c r="I1068" s="199"/>
      <c r="J1068" s="199"/>
      <c r="K1068" s="199"/>
      <c r="L1068" s="199"/>
      <c r="M1068" s="199"/>
      <c r="N1068" s="199"/>
      <c r="O1068" s="199"/>
      <c r="P1068" s="199"/>
      <c r="Q1068" s="199"/>
      <c r="R1068" s="53"/>
      <c r="T1068" s="54"/>
      <c r="U1068" s="51"/>
      <c r="V1068" s="51"/>
      <c r="W1068" s="51"/>
      <c r="X1068" s="51"/>
      <c r="Y1068" s="51"/>
      <c r="Z1068" s="51"/>
      <c r="AA1068" s="51"/>
      <c r="AB1068" s="51"/>
      <c r="AC1068" s="54"/>
      <c r="AD1068" s="51"/>
      <c r="AE1068" s="51"/>
      <c r="AF1068" s="51"/>
    </row>
    <row r="1069" spans="1:33" s="64" customFormat="1">
      <c r="A1069" s="71"/>
      <c r="B1069" s="51" t="str">
        <f>B556</f>
        <v>System Balancing Purchases</v>
      </c>
      <c r="C1069" s="58"/>
      <c r="E1069" s="199"/>
      <c r="F1069" s="199"/>
      <c r="G1069" s="199"/>
      <c r="H1069" s="199"/>
      <c r="I1069" s="199"/>
      <c r="J1069" s="199"/>
      <c r="K1069" s="199"/>
      <c r="L1069" s="199"/>
      <c r="M1069" s="199"/>
      <c r="N1069" s="199"/>
      <c r="O1069" s="199"/>
      <c r="P1069" s="199"/>
      <c r="Q1069" s="199"/>
      <c r="R1069" s="53"/>
      <c r="T1069" s="54"/>
      <c r="U1069" s="51"/>
      <c r="V1069" s="51"/>
      <c r="W1069" s="51"/>
      <c r="X1069" s="51"/>
      <c r="Y1069" s="51"/>
      <c r="Z1069" s="51"/>
      <c r="AA1069" s="51"/>
      <c r="AB1069" s="51"/>
      <c r="AC1069" s="54"/>
      <c r="AD1069" s="51"/>
      <c r="AE1069" s="51"/>
      <c r="AF1069" s="51"/>
    </row>
    <row r="1070" spans="1:33" s="64" customFormat="1">
      <c r="A1070" s="71"/>
      <c r="C1070" s="58" t="s">
        <v>90</v>
      </c>
      <c r="E1070" s="199">
        <f t="shared" ref="E1070:Q1078" si="302">IF(E557=0,0,E228/E557)</f>
        <v>28.696518943265716</v>
      </c>
      <c r="F1070" s="199">
        <f t="shared" si="302"/>
        <v>25.422620665375668</v>
      </c>
      <c r="G1070" s="199">
        <f t="shared" si="302"/>
        <v>18.609715508112604</v>
      </c>
      <c r="H1070" s="199">
        <f t="shared" si="302"/>
        <v>18.589338636320111</v>
      </c>
      <c r="I1070" s="199">
        <f t="shared" si="302"/>
        <v>25.431267892121802</v>
      </c>
      <c r="J1070" s="199">
        <f t="shared" si="302"/>
        <v>42.657989570878833</v>
      </c>
      <c r="K1070" s="199">
        <f t="shared" si="302"/>
        <v>41.155484848484846</v>
      </c>
      <c r="L1070" s="199">
        <f t="shared" si="302"/>
        <v>38.873529602460081</v>
      </c>
      <c r="M1070" s="199">
        <f t="shared" si="302"/>
        <v>39.268634499326929</v>
      </c>
      <c r="N1070" s="199">
        <f t="shared" si="302"/>
        <v>44.979328931504753</v>
      </c>
      <c r="O1070" s="199">
        <f t="shared" si="302"/>
        <v>43.782023934723163</v>
      </c>
      <c r="P1070" s="199">
        <f t="shared" si="302"/>
        <v>35.662548048329739</v>
      </c>
      <c r="Q1070" s="199">
        <f t="shared" si="302"/>
        <v>41.855272405734375</v>
      </c>
      <c r="R1070" s="53"/>
      <c r="T1070" s="54"/>
      <c r="AC1070" s="54"/>
      <c r="AG1070" s="62" t="str">
        <f t="shared" ref="AG1070:AG1077" si="303">AG557</f>
        <v/>
      </c>
    </row>
    <row r="1071" spans="1:33" s="64" customFormat="1">
      <c r="A1071" s="71"/>
      <c r="C1071" s="58" t="s">
        <v>93</v>
      </c>
      <c r="E1071" s="199">
        <f t="shared" si="302"/>
        <v>0</v>
      </c>
      <c r="F1071" s="199">
        <f t="shared" si="302"/>
        <v>0</v>
      </c>
      <c r="G1071" s="199">
        <f t="shared" si="302"/>
        <v>0</v>
      </c>
      <c r="H1071" s="199">
        <f t="shared" si="302"/>
        <v>0</v>
      </c>
      <c r="I1071" s="199">
        <f t="shared" si="302"/>
        <v>0</v>
      </c>
      <c r="J1071" s="199">
        <f t="shared" si="302"/>
        <v>0</v>
      </c>
      <c r="K1071" s="199">
        <f t="shared" si="302"/>
        <v>0</v>
      </c>
      <c r="L1071" s="199">
        <f t="shared" si="302"/>
        <v>0</v>
      </c>
      <c r="M1071" s="199">
        <f t="shared" si="302"/>
        <v>0</v>
      </c>
      <c r="N1071" s="199">
        <f t="shared" si="302"/>
        <v>0</v>
      </c>
      <c r="O1071" s="199">
        <f t="shared" si="302"/>
        <v>0</v>
      </c>
      <c r="P1071" s="199">
        <f t="shared" si="302"/>
        <v>0</v>
      </c>
      <c r="Q1071" s="199">
        <f t="shared" si="302"/>
        <v>0</v>
      </c>
      <c r="R1071" s="53"/>
      <c r="T1071" s="54"/>
      <c r="AC1071" s="54"/>
      <c r="AG1071" s="62" t="str">
        <f t="shared" si="303"/>
        <v>Hide Row</v>
      </c>
    </row>
    <row r="1072" spans="1:33" s="64" customFormat="1">
      <c r="A1072" s="71"/>
      <c r="C1072" s="58" t="s">
        <v>100</v>
      </c>
      <c r="E1072" s="199">
        <f t="shared" si="302"/>
        <v>0</v>
      </c>
      <c r="F1072" s="199">
        <f t="shared" si="302"/>
        <v>0</v>
      </c>
      <c r="G1072" s="199">
        <f t="shared" si="302"/>
        <v>0</v>
      </c>
      <c r="H1072" s="199">
        <f t="shared" si="302"/>
        <v>0</v>
      </c>
      <c r="I1072" s="199">
        <f t="shared" si="302"/>
        <v>0</v>
      </c>
      <c r="J1072" s="199">
        <f t="shared" si="302"/>
        <v>0</v>
      </c>
      <c r="K1072" s="199">
        <f t="shared" si="302"/>
        <v>0</v>
      </c>
      <c r="L1072" s="199">
        <f t="shared" si="302"/>
        <v>0</v>
      </c>
      <c r="M1072" s="199">
        <f t="shared" si="302"/>
        <v>0</v>
      </c>
      <c r="N1072" s="199">
        <f t="shared" si="302"/>
        <v>0</v>
      </c>
      <c r="O1072" s="199">
        <f t="shared" si="302"/>
        <v>0</v>
      </c>
      <c r="P1072" s="199">
        <f t="shared" si="302"/>
        <v>0</v>
      </c>
      <c r="Q1072" s="199">
        <f t="shared" si="302"/>
        <v>0</v>
      </c>
      <c r="R1072" s="53"/>
      <c r="T1072" s="54"/>
      <c r="AC1072" s="54"/>
      <c r="AG1072" s="62" t="str">
        <f t="shared" si="303"/>
        <v>Hide Row</v>
      </c>
    </row>
    <row r="1073" spans="1:33" s="64" customFormat="1">
      <c r="A1073" s="71"/>
      <c r="C1073" s="58" t="s">
        <v>101</v>
      </c>
      <c r="E1073" s="199">
        <f t="shared" si="302"/>
        <v>30.916922068546157</v>
      </c>
      <c r="F1073" s="199">
        <f t="shared" si="302"/>
        <v>25.530456453140054</v>
      </c>
      <c r="G1073" s="199">
        <f t="shared" si="302"/>
        <v>22.961209651304994</v>
      </c>
      <c r="H1073" s="199">
        <f t="shared" si="302"/>
        <v>21.958825869111639</v>
      </c>
      <c r="I1073" s="199">
        <f t="shared" si="302"/>
        <v>36.082889467105943</v>
      </c>
      <c r="J1073" s="199">
        <f t="shared" si="302"/>
        <v>44.646938748231307</v>
      </c>
      <c r="K1073" s="199">
        <f t="shared" si="302"/>
        <v>40.788066861087643</v>
      </c>
      <c r="L1073" s="199">
        <f t="shared" si="302"/>
        <v>35.602079120533283</v>
      </c>
      <c r="M1073" s="199">
        <f t="shared" si="302"/>
        <v>38.582256656506921</v>
      </c>
      <c r="N1073" s="199">
        <f t="shared" si="302"/>
        <v>43.274748825497063</v>
      </c>
      <c r="O1073" s="199">
        <f t="shared" si="302"/>
        <v>43.62361890504048</v>
      </c>
      <c r="P1073" s="199">
        <f t="shared" si="302"/>
        <v>39.694906243864018</v>
      </c>
      <c r="Q1073" s="199">
        <f t="shared" si="302"/>
        <v>35.550760449432694</v>
      </c>
      <c r="R1073" s="53"/>
      <c r="T1073" s="54"/>
      <c r="AC1073" s="54"/>
      <c r="AG1073" s="62" t="str">
        <f t="shared" si="303"/>
        <v/>
      </c>
    </row>
    <row r="1074" spans="1:33" s="64" customFormat="1">
      <c r="A1074" s="71"/>
      <c r="C1074" s="58" t="s">
        <v>103</v>
      </c>
      <c r="E1074" s="199">
        <f t="shared" si="302"/>
        <v>0</v>
      </c>
      <c r="F1074" s="199">
        <f t="shared" si="302"/>
        <v>0</v>
      </c>
      <c r="G1074" s="199">
        <f t="shared" si="302"/>
        <v>0</v>
      </c>
      <c r="H1074" s="199">
        <f t="shared" si="302"/>
        <v>0</v>
      </c>
      <c r="I1074" s="199">
        <f t="shared" si="302"/>
        <v>0</v>
      </c>
      <c r="J1074" s="199">
        <f t="shared" si="302"/>
        <v>0</v>
      </c>
      <c r="K1074" s="199">
        <f t="shared" si="302"/>
        <v>0</v>
      </c>
      <c r="L1074" s="199">
        <f t="shared" si="302"/>
        <v>0</v>
      </c>
      <c r="M1074" s="199">
        <f t="shared" si="302"/>
        <v>0</v>
      </c>
      <c r="N1074" s="199">
        <f t="shared" si="302"/>
        <v>0</v>
      </c>
      <c r="O1074" s="199">
        <f t="shared" si="302"/>
        <v>0</v>
      </c>
      <c r="P1074" s="199">
        <f t="shared" si="302"/>
        <v>0</v>
      </c>
      <c r="Q1074" s="199">
        <f t="shared" si="302"/>
        <v>0</v>
      </c>
      <c r="R1074" s="53"/>
      <c r="T1074" s="54"/>
      <c r="AC1074" s="54"/>
      <c r="AG1074" s="62" t="str">
        <f t="shared" si="303"/>
        <v>Hide Row</v>
      </c>
    </row>
    <row r="1075" spans="1:33" s="64" customFormat="1">
      <c r="A1075" s="71"/>
      <c r="C1075" s="58" t="s">
        <v>104</v>
      </c>
      <c r="E1075" s="199">
        <f t="shared" si="302"/>
        <v>20.194633372445207</v>
      </c>
      <c r="F1075" s="199">
        <f t="shared" si="302"/>
        <v>16.869090756127555</v>
      </c>
      <c r="G1075" s="199">
        <f t="shared" si="302"/>
        <v>20.845083955596376</v>
      </c>
      <c r="H1075" s="199">
        <f t="shared" si="302"/>
        <v>14.326241632676325</v>
      </c>
      <c r="I1075" s="199">
        <f t="shared" si="302"/>
        <v>14.238539009632818</v>
      </c>
      <c r="J1075" s="199">
        <f t="shared" si="302"/>
        <v>0</v>
      </c>
      <c r="K1075" s="199">
        <f t="shared" si="302"/>
        <v>0</v>
      </c>
      <c r="L1075" s="199">
        <f t="shared" si="302"/>
        <v>0</v>
      </c>
      <c r="M1075" s="199">
        <f t="shared" si="302"/>
        <v>34.800001956411975</v>
      </c>
      <c r="N1075" s="199">
        <f t="shared" si="302"/>
        <v>35.567098834770135</v>
      </c>
      <c r="O1075" s="199">
        <f t="shared" si="302"/>
        <v>0</v>
      </c>
      <c r="P1075" s="199">
        <f t="shared" si="302"/>
        <v>0</v>
      </c>
      <c r="Q1075" s="199">
        <f t="shared" si="302"/>
        <v>32.563665062757977</v>
      </c>
      <c r="R1075" s="53"/>
      <c r="T1075" s="54"/>
      <c r="AC1075" s="54"/>
      <c r="AG1075" s="62" t="str">
        <f t="shared" si="303"/>
        <v/>
      </c>
    </row>
    <row r="1076" spans="1:33" s="64" customFormat="1">
      <c r="A1076" s="71"/>
      <c r="C1076" s="58" t="s">
        <v>105</v>
      </c>
      <c r="E1076" s="199">
        <f t="shared" si="302"/>
        <v>0</v>
      </c>
      <c r="F1076" s="199">
        <f t="shared" si="302"/>
        <v>0</v>
      </c>
      <c r="G1076" s="199">
        <f t="shared" si="302"/>
        <v>0</v>
      </c>
      <c r="H1076" s="199">
        <f t="shared" si="302"/>
        <v>0</v>
      </c>
      <c r="I1076" s="199">
        <f t="shared" si="302"/>
        <v>0</v>
      </c>
      <c r="J1076" s="199">
        <f t="shared" si="302"/>
        <v>0</v>
      </c>
      <c r="K1076" s="199">
        <f t="shared" si="302"/>
        <v>0</v>
      </c>
      <c r="L1076" s="199">
        <f t="shared" si="302"/>
        <v>0</v>
      </c>
      <c r="M1076" s="199">
        <f t="shared" si="302"/>
        <v>0</v>
      </c>
      <c r="N1076" s="199">
        <f t="shared" si="302"/>
        <v>0</v>
      </c>
      <c r="O1076" s="199">
        <f t="shared" si="302"/>
        <v>0</v>
      </c>
      <c r="P1076" s="199">
        <f t="shared" si="302"/>
        <v>0</v>
      </c>
      <c r="Q1076" s="199">
        <f t="shared" si="302"/>
        <v>0</v>
      </c>
      <c r="R1076" s="53"/>
      <c r="T1076" s="54"/>
      <c r="AC1076" s="54"/>
      <c r="AG1076" s="62" t="str">
        <f t="shared" si="303"/>
        <v>Hide Row</v>
      </c>
    </row>
    <row r="1077" spans="1:33" s="64" customFormat="1">
      <c r="A1077" s="71"/>
      <c r="C1077" s="58" t="s">
        <v>108</v>
      </c>
      <c r="E1077" s="199">
        <f t="shared" si="302"/>
        <v>0</v>
      </c>
      <c r="F1077" s="199">
        <f t="shared" si="302"/>
        <v>0</v>
      </c>
      <c r="G1077" s="199">
        <f t="shared" si="302"/>
        <v>0</v>
      </c>
      <c r="H1077" s="199">
        <f t="shared" si="302"/>
        <v>0</v>
      </c>
      <c r="I1077" s="199">
        <f t="shared" si="302"/>
        <v>0</v>
      </c>
      <c r="J1077" s="199">
        <f t="shared" si="302"/>
        <v>0</v>
      </c>
      <c r="K1077" s="199">
        <f t="shared" si="302"/>
        <v>0</v>
      </c>
      <c r="L1077" s="199">
        <f t="shared" si="302"/>
        <v>0</v>
      </c>
      <c r="M1077" s="199">
        <f t="shared" si="302"/>
        <v>0</v>
      </c>
      <c r="N1077" s="199">
        <f t="shared" si="302"/>
        <v>0</v>
      </c>
      <c r="O1077" s="199">
        <f t="shared" si="302"/>
        <v>0</v>
      </c>
      <c r="P1077" s="199">
        <f t="shared" si="302"/>
        <v>0</v>
      </c>
      <c r="Q1077" s="199">
        <f t="shared" si="302"/>
        <v>0</v>
      </c>
      <c r="R1077" s="53"/>
      <c r="T1077" s="54"/>
      <c r="AC1077" s="54"/>
      <c r="AG1077" s="62" t="str">
        <f t="shared" si="303"/>
        <v>Hide Row</v>
      </c>
    </row>
    <row r="1078" spans="1:33" s="64" customFormat="1">
      <c r="A1078" s="71"/>
      <c r="C1078" s="58" t="s">
        <v>443</v>
      </c>
      <c r="E1078" s="199">
        <f t="shared" si="302"/>
        <v>0</v>
      </c>
      <c r="F1078" s="199">
        <f t="shared" si="302"/>
        <v>0</v>
      </c>
      <c r="G1078" s="199">
        <f t="shared" si="302"/>
        <v>0</v>
      </c>
      <c r="H1078" s="199">
        <f t="shared" si="302"/>
        <v>0</v>
      </c>
      <c r="I1078" s="199">
        <f t="shared" si="302"/>
        <v>0</v>
      </c>
      <c r="J1078" s="199">
        <f t="shared" si="302"/>
        <v>0</v>
      </c>
      <c r="K1078" s="199">
        <f t="shared" si="302"/>
        <v>0</v>
      </c>
      <c r="L1078" s="199">
        <f t="shared" si="302"/>
        <v>0</v>
      </c>
      <c r="M1078" s="199">
        <f t="shared" si="302"/>
        <v>0</v>
      </c>
      <c r="N1078" s="199">
        <f t="shared" si="302"/>
        <v>0</v>
      </c>
      <c r="O1078" s="199">
        <f t="shared" si="302"/>
        <v>0</v>
      </c>
      <c r="P1078" s="199">
        <f t="shared" si="302"/>
        <v>0</v>
      </c>
      <c r="Q1078" s="199">
        <f t="shared" si="302"/>
        <v>0</v>
      </c>
      <c r="R1078" s="53"/>
      <c r="T1078" s="54"/>
      <c r="AC1078" s="54"/>
    </row>
    <row r="1079" spans="1:33" s="64" customFormat="1">
      <c r="A1079" s="71"/>
      <c r="C1079" s="58"/>
      <c r="E1079" s="199"/>
      <c r="F1079" s="199"/>
      <c r="G1079" s="199"/>
      <c r="H1079" s="199"/>
      <c r="I1079" s="199"/>
      <c r="J1079" s="199"/>
      <c r="K1079" s="199"/>
      <c r="L1079" s="199"/>
      <c r="M1079" s="199"/>
      <c r="N1079" s="199"/>
      <c r="O1079" s="199"/>
      <c r="P1079" s="199"/>
      <c r="Q1079" s="199"/>
      <c r="R1079" s="53"/>
      <c r="T1079" s="54"/>
      <c r="AC1079" s="54"/>
    </row>
    <row r="1080" spans="1:33" s="64" customFormat="1">
      <c r="A1080" s="71"/>
      <c r="B1080" s="51" t="str">
        <f>B567</f>
        <v>Total System Balancing Purchases</v>
      </c>
      <c r="C1080" s="58"/>
      <c r="E1080" s="199">
        <f t="shared" ref="E1080:Q1080" si="304">IF(E567=0,0,E238/E567)</f>
        <v>30.719974144603828</v>
      </c>
      <c r="F1080" s="199">
        <f t="shared" si="304"/>
        <v>25.484840606102981</v>
      </c>
      <c r="G1080" s="199">
        <f t="shared" si="304"/>
        <v>22.700051086545354</v>
      </c>
      <c r="H1080" s="199">
        <f t="shared" si="304"/>
        <v>21.590046446804301</v>
      </c>
      <c r="I1080" s="199">
        <f t="shared" si="304"/>
        <v>35.36105839897921</v>
      </c>
      <c r="J1080" s="199">
        <f t="shared" si="304"/>
        <v>44.642179355178094</v>
      </c>
      <c r="K1080" s="199">
        <f t="shared" si="304"/>
        <v>40.817056448768852</v>
      </c>
      <c r="L1080" s="199">
        <f t="shared" si="304"/>
        <v>35.845854952229935</v>
      </c>
      <c r="M1080" s="199">
        <f t="shared" si="304"/>
        <v>38.62577714777786</v>
      </c>
      <c r="N1080" s="199">
        <f t="shared" si="304"/>
        <v>43.329758849646709</v>
      </c>
      <c r="O1080" s="199">
        <f t="shared" si="304"/>
        <v>43.652460183571513</v>
      </c>
      <c r="P1080" s="199">
        <f t="shared" si="304"/>
        <v>39.602912698931007</v>
      </c>
      <c r="Q1080" s="199">
        <f t="shared" si="304"/>
        <v>35.946253278681951</v>
      </c>
      <c r="R1080" s="53"/>
      <c r="T1080" s="54"/>
      <c r="AC1080" s="54"/>
    </row>
    <row r="1081" spans="1:33" s="64" customFormat="1">
      <c r="A1081" s="71"/>
      <c r="C1081" s="58"/>
      <c r="E1081" s="199"/>
      <c r="F1081" s="199"/>
      <c r="G1081" s="199"/>
      <c r="H1081" s="199"/>
      <c r="I1081" s="199"/>
      <c r="J1081" s="199"/>
      <c r="K1081" s="199"/>
      <c r="L1081" s="199"/>
      <c r="M1081" s="199"/>
      <c r="N1081" s="199"/>
      <c r="O1081" s="199"/>
      <c r="P1081" s="199"/>
      <c r="Q1081" s="199"/>
      <c r="R1081" s="53"/>
      <c r="T1081" s="54"/>
      <c r="AC1081" s="54"/>
    </row>
    <row r="1082" spans="1:33" s="64" customFormat="1">
      <c r="A1082" s="71"/>
      <c r="C1082" s="58"/>
      <c r="E1082" s="199"/>
      <c r="F1082" s="199"/>
      <c r="G1082" s="199"/>
      <c r="H1082" s="199"/>
      <c r="I1082" s="199"/>
      <c r="J1082" s="199"/>
      <c r="K1082" s="199"/>
      <c r="L1082" s="199"/>
      <c r="M1082" s="199"/>
      <c r="N1082" s="199"/>
      <c r="O1082" s="199"/>
      <c r="P1082" s="199"/>
      <c r="Q1082" s="199"/>
      <c r="R1082" s="53"/>
      <c r="T1082" s="54"/>
      <c r="AC1082" s="54"/>
    </row>
    <row r="1083" spans="1:33" s="64" customFormat="1">
      <c r="A1083" s="41"/>
      <c r="B1083" s="51"/>
      <c r="C1083" s="52"/>
      <c r="D1083" s="51"/>
      <c r="E1083" s="199"/>
      <c r="F1083" s="199"/>
      <c r="G1083" s="199"/>
      <c r="H1083" s="199"/>
      <c r="I1083" s="199"/>
      <c r="J1083" s="199"/>
      <c r="K1083" s="199"/>
      <c r="L1083" s="199"/>
      <c r="M1083" s="199"/>
      <c r="N1083" s="199"/>
      <c r="O1083" s="199"/>
      <c r="P1083" s="199"/>
      <c r="Q1083" s="199"/>
      <c r="R1083" s="53"/>
      <c r="T1083" s="54"/>
      <c r="AC1083" s="54"/>
    </row>
    <row r="1084" spans="1:33" s="64" customFormat="1">
      <c r="A1084" s="41" t="s">
        <v>607</v>
      </c>
      <c r="B1084" s="51"/>
      <c r="C1084" s="52"/>
      <c r="D1084" s="51"/>
      <c r="E1084" s="199"/>
      <c r="F1084" s="199"/>
      <c r="G1084" s="199"/>
      <c r="H1084" s="199"/>
      <c r="I1084" s="199"/>
      <c r="J1084" s="199"/>
      <c r="K1084" s="199"/>
      <c r="L1084" s="199"/>
      <c r="M1084" s="199"/>
      <c r="N1084" s="199"/>
      <c r="O1084" s="199"/>
      <c r="P1084" s="199"/>
      <c r="Q1084" s="199"/>
      <c r="R1084" s="53"/>
      <c r="T1084" s="54"/>
      <c r="AC1084" s="54"/>
    </row>
    <row r="1085" spans="1:33">
      <c r="C1085" s="52" t="s">
        <v>494</v>
      </c>
      <c r="E1085" s="199">
        <f t="shared" ref="E1085:Q1085" si="305">IF(E609=0,0,E291/(E609+E610))</f>
        <v>0</v>
      </c>
      <c r="F1085" s="199">
        <f t="shared" si="305"/>
        <v>0</v>
      </c>
      <c r="G1085" s="199">
        <f t="shared" si="305"/>
        <v>0</v>
      </c>
      <c r="H1085" s="199">
        <f t="shared" si="305"/>
        <v>0</v>
      </c>
      <c r="I1085" s="199">
        <f t="shared" si="305"/>
        <v>0</v>
      </c>
      <c r="J1085" s="199">
        <f t="shared" si="305"/>
        <v>0</v>
      </c>
      <c r="K1085" s="199">
        <f t="shared" si="305"/>
        <v>0</v>
      </c>
      <c r="L1085" s="199">
        <f t="shared" si="305"/>
        <v>0</v>
      </c>
      <c r="M1085" s="199">
        <f t="shared" si="305"/>
        <v>0</v>
      </c>
      <c r="N1085" s="199">
        <f t="shared" si="305"/>
        <v>0</v>
      </c>
      <c r="O1085" s="199">
        <f t="shared" si="305"/>
        <v>0</v>
      </c>
      <c r="P1085" s="199">
        <f t="shared" si="305"/>
        <v>0</v>
      </c>
      <c r="Q1085" s="199">
        <f t="shared" si="305"/>
        <v>0</v>
      </c>
      <c r="U1085" s="64"/>
      <c r="V1085" s="64"/>
      <c r="W1085" s="64"/>
      <c r="X1085" s="64"/>
      <c r="Y1085" s="64"/>
      <c r="Z1085" s="64"/>
      <c r="AA1085" s="64"/>
      <c r="AB1085" s="64"/>
      <c r="AC1085" s="54"/>
      <c r="AD1085" s="64"/>
      <c r="AE1085" s="64"/>
      <c r="AF1085" s="64"/>
      <c r="AG1085" s="62" t="str">
        <f>AG759</f>
        <v/>
      </c>
    </row>
    <row r="1086" spans="1:33">
      <c r="E1086" s="199"/>
      <c r="F1086" s="199"/>
      <c r="G1086" s="199"/>
      <c r="H1086" s="199"/>
      <c r="I1086" s="199"/>
      <c r="J1086" s="199"/>
      <c r="K1086" s="199"/>
      <c r="L1086" s="199"/>
      <c r="M1086" s="199"/>
      <c r="N1086" s="199"/>
      <c r="O1086" s="199"/>
      <c r="P1086" s="199"/>
      <c r="Q1086" s="199"/>
      <c r="U1086" s="64"/>
      <c r="V1086" s="64"/>
      <c r="W1086" s="64"/>
      <c r="X1086" s="64"/>
      <c r="Y1086" s="64"/>
      <c r="Z1086" s="64"/>
      <c r="AA1086" s="64"/>
      <c r="AB1086" s="64"/>
      <c r="AC1086" s="54"/>
      <c r="AD1086" s="64"/>
      <c r="AE1086" s="64"/>
      <c r="AF1086" s="64"/>
    </row>
    <row r="1087" spans="1:33">
      <c r="C1087" s="52" t="s">
        <v>453</v>
      </c>
      <c r="E1087" s="199">
        <f t="shared" ref="E1087:Q1096" si="306">IF(E572=0,0,E250/E572)</f>
        <v>0</v>
      </c>
      <c r="F1087" s="199">
        <f t="shared" si="306"/>
        <v>0</v>
      </c>
      <c r="G1087" s="199">
        <f t="shared" si="306"/>
        <v>0</v>
      </c>
      <c r="H1087" s="199">
        <f t="shared" si="306"/>
        <v>0</v>
      </c>
      <c r="I1087" s="199">
        <f t="shared" si="306"/>
        <v>0</v>
      </c>
      <c r="J1087" s="199">
        <f t="shared" si="306"/>
        <v>0</v>
      </c>
      <c r="K1087" s="199">
        <f t="shared" si="306"/>
        <v>0</v>
      </c>
      <c r="L1087" s="199">
        <f t="shared" si="306"/>
        <v>0</v>
      </c>
      <c r="M1087" s="199">
        <f t="shared" si="306"/>
        <v>0</v>
      </c>
      <c r="N1087" s="199">
        <f t="shared" si="306"/>
        <v>0</v>
      </c>
      <c r="O1087" s="199">
        <f t="shared" si="306"/>
        <v>0</v>
      </c>
      <c r="P1087" s="199">
        <f t="shared" si="306"/>
        <v>0</v>
      </c>
      <c r="Q1087" s="199">
        <f t="shared" si="306"/>
        <v>0</v>
      </c>
      <c r="U1087" s="64"/>
      <c r="V1087" s="64"/>
      <c r="W1087" s="64"/>
      <c r="X1087" s="64"/>
      <c r="Y1087" s="64"/>
      <c r="Z1087" s="64"/>
      <c r="AA1087" s="64"/>
      <c r="AB1087" s="64"/>
      <c r="AC1087" s="54"/>
      <c r="AD1087" s="64"/>
      <c r="AE1087" s="64"/>
      <c r="AF1087" s="64"/>
      <c r="AG1087" s="62" t="str">
        <f t="shared" ref="AG1087:AG1098" si="307">AG761</f>
        <v/>
      </c>
    </row>
    <row r="1088" spans="1:33">
      <c r="C1088" s="52" t="s">
        <v>106</v>
      </c>
      <c r="E1088" s="199">
        <f t="shared" si="306"/>
        <v>0</v>
      </c>
      <c r="F1088" s="199">
        <f t="shared" si="306"/>
        <v>0</v>
      </c>
      <c r="G1088" s="199">
        <f t="shared" si="306"/>
        <v>0</v>
      </c>
      <c r="H1088" s="199">
        <f t="shared" si="306"/>
        <v>0</v>
      </c>
      <c r="I1088" s="199">
        <f t="shared" si="306"/>
        <v>0</v>
      </c>
      <c r="J1088" s="199">
        <f t="shared" si="306"/>
        <v>0</v>
      </c>
      <c r="K1088" s="199">
        <f t="shared" si="306"/>
        <v>0</v>
      </c>
      <c r="L1088" s="199">
        <f t="shared" si="306"/>
        <v>0</v>
      </c>
      <c r="M1088" s="199">
        <f t="shared" si="306"/>
        <v>0</v>
      </c>
      <c r="N1088" s="199">
        <f t="shared" si="306"/>
        <v>0</v>
      </c>
      <c r="O1088" s="199">
        <f t="shared" si="306"/>
        <v>0</v>
      </c>
      <c r="P1088" s="199">
        <f t="shared" si="306"/>
        <v>0</v>
      </c>
      <c r="Q1088" s="199">
        <f t="shared" si="306"/>
        <v>0</v>
      </c>
      <c r="U1088" s="64"/>
      <c r="V1088" s="64"/>
      <c r="W1088" s="64"/>
      <c r="X1088" s="64"/>
      <c r="Y1088" s="64"/>
      <c r="Z1088" s="64"/>
      <c r="AA1088" s="64"/>
      <c r="AB1088" s="64"/>
      <c r="AC1088" s="54"/>
      <c r="AD1088" s="64"/>
      <c r="AE1088" s="64"/>
      <c r="AF1088" s="64"/>
      <c r="AG1088" s="62" t="str">
        <f t="shared" si="307"/>
        <v/>
      </c>
    </row>
    <row r="1089" spans="2:33">
      <c r="C1089" s="52" t="s">
        <v>454</v>
      </c>
      <c r="E1089" s="199">
        <f t="shared" si="306"/>
        <v>14.361784015437911</v>
      </c>
      <c r="F1089" s="199">
        <f t="shared" si="306"/>
        <v>14.359844836049174</v>
      </c>
      <c r="G1089" s="199">
        <f t="shared" si="306"/>
        <v>14.367208228368051</v>
      </c>
      <c r="H1089" s="199">
        <f t="shared" si="306"/>
        <v>14.384149613944967</v>
      </c>
      <c r="I1089" s="199">
        <f t="shared" si="306"/>
        <v>14.359836506827696</v>
      </c>
      <c r="J1089" s="199">
        <f t="shared" si="306"/>
        <v>14.359895898501248</v>
      </c>
      <c r="K1089" s="199">
        <f t="shared" si="306"/>
        <v>14.359845332115103</v>
      </c>
      <c r="L1089" s="199">
        <f t="shared" si="306"/>
        <v>14.35986706751455</v>
      </c>
      <c r="M1089" s="199">
        <f t="shared" si="306"/>
        <v>14.359874254043238</v>
      </c>
      <c r="N1089" s="199">
        <f t="shared" si="306"/>
        <v>14.359838499119039</v>
      </c>
      <c r="O1089" s="199">
        <f t="shared" si="306"/>
        <v>14.359894691383344</v>
      </c>
      <c r="P1089" s="199">
        <f t="shared" si="306"/>
        <v>14.359851900161949</v>
      </c>
      <c r="Q1089" s="199">
        <f t="shared" si="306"/>
        <v>14.359836910391241</v>
      </c>
      <c r="U1089" s="64"/>
      <c r="V1089" s="64"/>
      <c r="W1089" s="64"/>
      <c r="X1089" s="64"/>
      <c r="Y1089" s="64"/>
      <c r="Z1089" s="64"/>
      <c r="AA1089" s="64"/>
      <c r="AB1089" s="64"/>
      <c r="AC1089" s="54"/>
      <c r="AD1089" s="64"/>
      <c r="AE1089" s="64"/>
      <c r="AF1089" s="64"/>
      <c r="AG1089" s="62" t="str">
        <f t="shared" si="307"/>
        <v/>
      </c>
    </row>
    <row r="1090" spans="2:33">
      <c r="C1090" s="52" t="s">
        <v>455</v>
      </c>
      <c r="E1090" s="199">
        <f t="shared" si="306"/>
        <v>0</v>
      </c>
      <c r="F1090" s="199">
        <f t="shared" si="306"/>
        <v>0</v>
      </c>
      <c r="G1090" s="199">
        <f t="shared" si="306"/>
        <v>0</v>
      </c>
      <c r="H1090" s="199">
        <f t="shared" si="306"/>
        <v>0</v>
      </c>
      <c r="I1090" s="199">
        <f t="shared" si="306"/>
        <v>0</v>
      </c>
      <c r="J1090" s="199">
        <f t="shared" si="306"/>
        <v>0</v>
      </c>
      <c r="K1090" s="199">
        <f t="shared" si="306"/>
        <v>0</v>
      </c>
      <c r="L1090" s="199">
        <f t="shared" si="306"/>
        <v>0</v>
      </c>
      <c r="M1090" s="199">
        <f t="shared" si="306"/>
        <v>0</v>
      </c>
      <c r="N1090" s="199">
        <f t="shared" si="306"/>
        <v>0</v>
      </c>
      <c r="O1090" s="199">
        <f t="shared" si="306"/>
        <v>0</v>
      </c>
      <c r="P1090" s="199">
        <f t="shared" si="306"/>
        <v>0</v>
      </c>
      <c r="Q1090" s="199">
        <f t="shared" si="306"/>
        <v>0</v>
      </c>
      <c r="U1090" s="64"/>
      <c r="V1090" s="64"/>
      <c r="W1090" s="64"/>
      <c r="X1090" s="64"/>
      <c r="Y1090" s="64"/>
      <c r="Z1090" s="64"/>
      <c r="AA1090" s="64"/>
      <c r="AB1090" s="64"/>
      <c r="AC1090" s="54"/>
      <c r="AD1090" s="64"/>
      <c r="AE1090" s="64"/>
      <c r="AF1090" s="64"/>
      <c r="AG1090" s="62" t="str">
        <f t="shared" si="307"/>
        <v/>
      </c>
    </row>
    <row r="1091" spans="2:33">
      <c r="C1091" s="52" t="s">
        <v>456</v>
      </c>
      <c r="E1091" s="199">
        <f t="shared" si="306"/>
        <v>0</v>
      </c>
      <c r="F1091" s="199">
        <f t="shared" si="306"/>
        <v>0</v>
      </c>
      <c r="G1091" s="199">
        <f t="shared" si="306"/>
        <v>0</v>
      </c>
      <c r="H1091" s="199">
        <f t="shared" si="306"/>
        <v>0</v>
      </c>
      <c r="I1091" s="199">
        <f t="shared" si="306"/>
        <v>0</v>
      </c>
      <c r="J1091" s="199">
        <f t="shared" si="306"/>
        <v>0</v>
      </c>
      <c r="K1091" s="199">
        <f t="shared" si="306"/>
        <v>0</v>
      </c>
      <c r="L1091" s="199">
        <f t="shared" si="306"/>
        <v>0</v>
      </c>
      <c r="M1091" s="199">
        <f t="shared" si="306"/>
        <v>0</v>
      </c>
      <c r="N1091" s="199">
        <f t="shared" si="306"/>
        <v>0</v>
      </c>
      <c r="O1091" s="199">
        <f t="shared" si="306"/>
        <v>0</v>
      </c>
      <c r="P1091" s="199">
        <f t="shared" si="306"/>
        <v>0</v>
      </c>
      <c r="Q1091" s="199">
        <f t="shared" si="306"/>
        <v>0</v>
      </c>
      <c r="U1091" s="64"/>
      <c r="V1091" s="64"/>
      <c r="W1091" s="64"/>
      <c r="X1091" s="64"/>
      <c r="Y1091" s="64"/>
      <c r="Z1091" s="64"/>
      <c r="AA1091" s="64"/>
      <c r="AB1091" s="64"/>
      <c r="AC1091" s="54"/>
      <c r="AD1091" s="64"/>
      <c r="AE1091" s="64"/>
      <c r="AF1091" s="64"/>
      <c r="AG1091" s="62" t="str">
        <f t="shared" si="307"/>
        <v/>
      </c>
    </row>
    <row r="1092" spans="2:33">
      <c r="C1092" s="52" t="s">
        <v>457</v>
      </c>
      <c r="E1092" s="199">
        <f t="shared" si="306"/>
        <v>0</v>
      </c>
      <c r="F1092" s="199">
        <f t="shared" si="306"/>
        <v>0</v>
      </c>
      <c r="G1092" s="199">
        <f t="shared" si="306"/>
        <v>0</v>
      </c>
      <c r="H1092" s="199">
        <f t="shared" si="306"/>
        <v>0</v>
      </c>
      <c r="I1092" s="199">
        <f t="shared" si="306"/>
        <v>0</v>
      </c>
      <c r="J1092" s="199">
        <f t="shared" si="306"/>
        <v>0</v>
      </c>
      <c r="K1092" s="199">
        <f t="shared" si="306"/>
        <v>0</v>
      </c>
      <c r="L1092" s="199">
        <f t="shared" si="306"/>
        <v>0</v>
      </c>
      <c r="M1092" s="199">
        <f t="shared" si="306"/>
        <v>0</v>
      </c>
      <c r="N1092" s="199">
        <f t="shared" si="306"/>
        <v>0</v>
      </c>
      <c r="O1092" s="199">
        <f t="shared" si="306"/>
        <v>0</v>
      </c>
      <c r="P1092" s="199">
        <f t="shared" si="306"/>
        <v>0</v>
      </c>
      <c r="Q1092" s="199">
        <f t="shared" si="306"/>
        <v>0</v>
      </c>
      <c r="AC1092" s="54"/>
      <c r="AG1092" s="62" t="str">
        <f t="shared" si="307"/>
        <v/>
      </c>
    </row>
    <row r="1093" spans="2:33">
      <c r="C1093" s="52" t="s">
        <v>458</v>
      </c>
      <c r="E1093" s="199">
        <f t="shared" si="306"/>
        <v>0</v>
      </c>
      <c r="F1093" s="199">
        <f t="shared" si="306"/>
        <v>0</v>
      </c>
      <c r="G1093" s="199">
        <f t="shared" si="306"/>
        <v>0</v>
      </c>
      <c r="H1093" s="199">
        <f t="shared" si="306"/>
        <v>0</v>
      </c>
      <c r="I1093" s="199">
        <f t="shared" si="306"/>
        <v>0</v>
      </c>
      <c r="J1093" s="199">
        <f t="shared" si="306"/>
        <v>0</v>
      </c>
      <c r="K1093" s="199">
        <f t="shared" si="306"/>
        <v>0</v>
      </c>
      <c r="L1093" s="199">
        <f t="shared" si="306"/>
        <v>0</v>
      </c>
      <c r="M1093" s="199">
        <f t="shared" si="306"/>
        <v>0</v>
      </c>
      <c r="N1093" s="199">
        <f t="shared" si="306"/>
        <v>0</v>
      </c>
      <c r="O1093" s="199">
        <f t="shared" si="306"/>
        <v>0</v>
      </c>
      <c r="P1093" s="199">
        <f t="shared" si="306"/>
        <v>0</v>
      </c>
      <c r="Q1093" s="199">
        <f t="shared" si="306"/>
        <v>0</v>
      </c>
      <c r="AC1093" s="54"/>
      <c r="AG1093" s="62" t="str">
        <f t="shared" si="307"/>
        <v/>
      </c>
    </row>
    <row r="1094" spans="2:33">
      <c r="C1094" s="52" t="s">
        <v>459</v>
      </c>
      <c r="E1094" s="199">
        <f t="shared" si="306"/>
        <v>0</v>
      </c>
      <c r="F1094" s="199">
        <f t="shared" si="306"/>
        <v>0</v>
      </c>
      <c r="G1094" s="199">
        <f t="shared" si="306"/>
        <v>0</v>
      </c>
      <c r="H1094" s="199">
        <f t="shared" si="306"/>
        <v>0</v>
      </c>
      <c r="I1094" s="199">
        <f t="shared" si="306"/>
        <v>0</v>
      </c>
      <c r="J1094" s="199">
        <f t="shared" si="306"/>
        <v>0</v>
      </c>
      <c r="K1094" s="199">
        <f t="shared" si="306"/>
        <v>0</v>
      </c>
      <c r="L1094" s="199">
        <f t="shared" si="306"/>
        <v>0</v>
      </c>
      <c r="M1094" s="199">
        <f t="shared" si="306"/>
        <v>0</v>
      </c>
      <c r="N1094" s="199">
        <f t="shared" si="306"/>
        <v>0</v>
      </c>
      <c r="O1094" s="199">
        <f t="shared" si="306"/>
        <v>0</v>
      </c>
      <c r="P1094" s="199">
        <f t="shared" si="306"/>
        <v>0</v>
      </c>
      <c r="Q1094" s="199">
        <f t="shared" si="306"/>
        <v>0</v>
      </c>
      <c r="AC1094" s="54"/>
      <c r="AG1094" s="62" t="str">
        <f t="shared" si="307"/>
        <v/>
      </c>
    </row>
    <row r="1095" spans="2:33">
      <c r="C1095" s="52" t="s">
        <v>119</v>
      </c>
      <c r="E1095" s="199">
        <f t="shared" si="306"/>
        <v>24.059079041022091</v>
      </c>
      <c r="F1095" s="199">
        <f t="shared" si="306"/>
        <v>23.991089682054877</v>
      </c>
      <c r="G1095" s="199">
        <f t="shared" si="306"/>
        <v>24.218556373655133</v>
      </c>
      <c r="H1095" s="199">
        <f t="shared" si="306"/>
        <v>24.288377839921864</v>
      </c>
      <c r="I1095" s="199">
        <f t="shared" si="306"/>
        <v>23.978543960865672</v>
      </c>
      <c r="J1095" s="199">
        <f t="shared" si="306"/>
        <v>24.017676920419433</v>
      </c>
      <c r="K1095" s="199">
        <f t="shared" si="306"/>
        <v>24.032033149263651</v>
      </c>
      <c r="L1095" s="199">
        <f t="shared" si="306"/>
        <v>24.001985116405944</v>
      </c>
      <c r="M1095" s="199">
        <f t="shared" si="306"/>
        <v>23.988634308420252</v>
      </c>
      <c r="N1095" s="199">
        <f t="shared" si="306"/>
        <v>24.036570262152235</v>
      </c>
      <c r="O1095" s="199">
        <f t="shared" si="306"/>
        <v>24.111983244743904</v>
      </c>
      <c r="P1095" s="199">
        <f t="shared" si="306"/>
        <v>24.033254406541033</v>
      </c>
      <c r="Q1095" s="199">
        <f t="shared" si="306"/>
        <v>24.091121217191585</v>
      </c>
      <c r="AC1095" s="54"/>
      <c r="AG1095" s="62" t="str">
        <f t="shared" si="307"/>
        <v/>
      </c>
    </row>
    <row r="1096" spans="2:33">
      <c r="C1096" s="52" t="s">
        <v>460</v>
      </c>
      <c r="E1096" s="199">
        <f t="shared" si="306"/>
        <v>0</v>
      </c>
      <c r="F1096" s="199">
        <f t="shared" si="306"/>
        <v>0</v>
      </c>
      <c r="G1096" s="199">
        <f t="shared" si="306"/>
        <v>0</v>
      </c>
      <c r="H1096" s="199">
        <f t="shared" si="306"/>
        <v>0</v>
      </c>
      <c r="I1096" s="199">
        <f t="shared" si="306"/>
        <v>0</v>
      </c>
      <c r="J1096" s="199">
        <f t="shared" si="306"/>
        <v>0</v>
      </c>
      <c r="K1096" s="199">
        <f t="shared" si="306"/>
        <v>0</v>
      </c>
      <c r="L1096" s="199">
        <f t="shared" si="306"/>
        <v>0</v>
      </c>
      <c r="M1096" s="199">
        <f t="shared" si="306"/>
        <v>0</v>
      </c>
      <c r="N1096" s="199">
        <f t="shared" si="306"/>
        <v>0</v>
      </c>
      <c r="O1096" s="199">
        <f t="shared" si="306"/>
        <v>0</v>
      </c>
      <c r="P1096" s="199">
        <f t="shared" si="306"/>
        <v>0</v>
      </c>
      <c r="Q1096" s="199">
        <f t="shared" si="306"/>
        <v>0</v>
      </c>
      <c r="AC1096" s="54"/>
      <c r="AG1096" s="62" t="str">
        <f t="shared" si="307"/>
        <v/>
      </c>
    </row>
    <row r="1097" spans="2:33" hidden="1">
      <c r="E1097" s="199"/>
      <c r="F1097" s="199"/>
      <c r="G1097" s="199"/>
      <c r="H1097" s="199"/>
      <c r="I1097" s="199"/>
      <c r="J1097" s="199"/>
      <c r="K1097" s="199"/>
      <c r="L1097" s="199"/>
      <c r="M1097" s="199"/>
      <c r="N1097" s="199"/>
      <c r="O1097" s="199"/>
      <c r="P1097" s="199"/>
      <c r="Q1097" s="199"/>
      <c r="AC1097" s="54"/>
      <c r="AG1097" s="62" t="str">
        <f t="shared" si="307"/>
        <v>Hide Row</v>
      </c>
    </row>
    <row r="1098" spans="2:33">
      <c r="C1098" s="52" t="s">
        <v>462</v>
      </c>
      <c r="E1098" s="199">
        <f t="shared" ref="E1098:Q1098" si="308">IF(E584=0,0,E262/E584)</f>
        <v>0</v>
      </c>
      <c r="F1098" s="199">
        <f t="shared" si="308"/>
        <v>0</v>
      </c>
      <c r="G1098" s="199">
        <f t="shared" si="308"/>
        <v>0</v>
      </c>
      <c r="H1098" s="199">
        <f t="shared" si="308"/>
        <v>0</v>
      </c>
      <c r="I1098" s="199">
        <f t="shared" si="308"/>
        <v>0</v>
      </c>
      <c r="J1098" s="199">
        <f t="shared" si="308"/>
        <v>0</v>
      </c>
      <c r="K1098" s="199">
        <f t="shared" si="308"/>
        <v>0</v>
      </c>
      <c r="L1098" s="199">
        <f t="shared" si="308"/>
        <v>0</v>
      </c>
      <c r="M1098" s="199">
        <f t="shared" si="308"/>
        <v>0</v>
      </c>
      <c r="N1098" s="199">
        <f t="shared" si="308"/>
        <v>0</v>
      </c>
      <c r="O1098" s="199">
        <f t="shared" si="308"/>
        <v>0</v>
      </c>
      <c r="P1098" s="199">
        <f t="shared" si="308"/>
        <v>0</v>
      </c>
      <c r="Q1098" s="199">
        <f t="shared" si="308"/>
        <v>0</v>
      </c>
      <c r="AC1098" s="54"/>
      <c r="AG1098" s="62" t="str">
        <f t="shared" si="307"/>
        <v/>
      </c>
    </row>
    <row r="1099" spans="2:33">
      <c r="E1099" s="199"/>
      <c r="F1099" s="199"/>
      <c r="G1099" s="199"/>
      <c r="H1099" s="199"/>
      <c r="I1099" s="199"/>
      <c r="J1099" s="199"/>
      <c r="K1099" s="199"/>
      <c r="L1099" s="199"/>
      <c r="M1099" s="199"/>
      <c r="N1099" s="199"/>
      <c r="O1099" s="199"/>
      <c r="P1099" s="199"/>
      <c r="Q1099" s="199"/>
      <c r="AC1099" s="54"/>
    </row>
    <row r="1100" spans="2:33">
      <c r="B1100" s="51" t="s">
        <v>608</v>
      </c>
      <c r="E1100" s="199">
        <f t="shared" ref="E1100:Q1100" si="309">IF(E586=0,0,E264/E586)</f>
        <v>23.53364990028744</v>
      </c>
      <c r="F1100" s="199">
        <f t="shared" si="309"/>
        <v>23.383570012417696</v>
      </c>
      <c r="G1100" s="199">
        <f t="shared" si="309"/>
        <v>23.524838116954236</v>
      </c>
      <c r="H1100" s="199">
        <f t="shared" si="309"/>
        <v>23.8938840298099</v>
      </c>
      <c r="I1100" s="199">
        <f t="shared" si="309"/>
        <v>23.489934691830527</v>
      </c>
      <c r="J1100" s="199">
        <f t="shared" si="309"/>
        <v>23.518128849019369</v>
      </c>
      <c r="K1100" s="199">
        <f t="shared" si="309"/>
        <v>23.5277405758094</v>
      </c>
      <c r="L1100" s="199">
        <f t="shared" si="309"/>
        <v>23.506668110737696</v>
      </c>
      <c r="M1100" s="199">
        <f t="shared" si="309"/>
        <v>23.48769111025717</v>
      </c>
      <c r="N1100" s="199">
        <f t="shared" si="309"/>
        <v>23.520405615197724</v>
      </c>
      <c r="O1100" s="199">
        <f t="shared" si="309"/>
        <v>23.572178173425115</v>
      </c>
      <c r="P1100" s="199">
        <f t="shared" si="309"/>
        <v>23.51597698555236</v>
      </c>
      <c r="Q1100" s="199">
        <f t="shared" si="309"/>
        <v>23.500808808345621</v>
      </c>
      <c r="AC1100" s="54"/>
    </row>
    <row r="1101" spans="2:33">
      <c r="E1101" s="199"/>
      <c r="F1101" s="199"/>
      <c r="G1101" s="199"/>
      <c r="H1101" s="199"/>
      <c r="I1101" s="199"/>
      <c r="J1101" s="199"/>
      <c r="K1101" s="199"/>
      <c r="L1101" s="199"/>
      <c r="M1101" s="199"/>
      <c r="N1101" s="199"/>
      <c r="O1101" s="199"/>
      <c r="P1101" s="199"/>
      <c r="Q1101" s="199"/>
      <c r="AC1101" s="54"/>
    </row>
    <row r="1102" spans="2:33">
      <c r="C1102" s="52" t="s">
        <v>116</v>
      </c>
      <c r="E1102" s="199">
        <f t="shared" ref="E1102:Q1111" si="310">IF(E589=0,0,E267/E589)</f>
        <v>33.587263130609351</v>
      </c>
      <c r="F1102" s="199">
        <f t="shared" si="310"/>
        <v>34.652374203699942</v>
      </c>
      <c r="G1102" s="199">
        <f t="shared" si="310"/>
        <v>0</v>
      </c>
      <c r="H1102" s="199">
        <f t="shared" si="310"/>
        <v>0</v>
      </c>
      <c r="I1102" s="199">
        <f t="shared" si="310"/>
        <v>29.291302657946073</v>
      </c>
      <c r="J1102" s="199">
        <f t="shared" si="310"/>
        <v>29.471329921176125</v>
      </c>
      <c r="K1102" s="199">
        <f t="shared" si="310"/>
        <v>30.415107687994695</v>
      </c>
      <c r="L1102" s="199">
        <f t="shared" si="310"/>
        <v>30.231338941048914</v>
      </c>
      <c r="M1102" s="199">
        <f t="shared" si="310"/>
        <v>38.352017593209375</v>
      </c>
      <c r="N1102" s="199">
        <f t="shared" si="310"/>
        <v>41.970207624888573</v>
      </c>
      <c r="O1102" s="199">
        <f t="shared" si="310"/>
        <v>42.142230999810373</v>
      </c>
      <c r="P1102" s="199">
        <f t="shared" si="310"/>
        <v>38.029528773256352</v>
      </c>
      <c r="Q1102" s="199">
        <f t="shared" si="310"/>
        <v>40.811420031744561</v>
      </c>
      <c r="U1102" s="64"/>
      <c r="V1102" s="64"/>
      <c r="W1102" s="64"/>
      <c r="X1102" s="64"/>
      <c r="Y1102" s="64"/>
      <c r="Z1102" s="64"/>
      <c r="AA1102" s="64"/>
      <c r="AB1102" s="64"/>
      <c r="AC1102" s="54"/>
      <c r="AD1102" s="64"/>
      <c r="AE1102" s="64"/>
      <c r="AF1102" s="64"/>
      <c r="AG1102" s="62" t="str">
        <f t="shared" ref="AG1102:AG1111" si="311">AG777</f>
        <v/>
      </c>
    </row>
    <row r="1103" spans="2:33">
      <c r="C1103" s="52" t="s">
        <v>466</v>
      </c>
      <c r="E1103" s="199">
        <f t="shared" si="310"/>
        <v>0</v>
      </c>
      <c r="F1103" s="199">
        <f t="shared" si="310"/>
        <v>0</v>
      </c>
      <c r="G1103" s="199">
        <f t="shared" si="310"/>
        <v>0</v>
      </c>
      <c r="H1103" s="199">
        <f t="shared" si="310"/>
        <v>0</v>
      </c>
      <c r="I1103" s="199">
        <f t="shared" si="310"/>
        <v>0</v>
      </c>
      <c r="J1103" s="199">
        <f t="shared" si="310"/>
        <v>0</v>
      </c>
      <c r="K1103" s="199">
        <f t="shared" si="310"/>
        <v>0</v>
      </c>
      <c r="L1103" s="199">
        <f t="shared" si="310"/>
        <v>0</v>
      </c>
      <c r="M1103" s="199">
        <f t="shared" si="310"/>
        <v>0</v>
      </c>
      <c r="N1103" s="199">
        <f t="shared" si="310"/>
        <v>0</v>
      </c>
      <c r="O1103" s="199">
        <f t="shared" si="310"/>
        <v>0</v>
      </c>
      <c r="P1103" s="199">
        <f t="shared" si="310"/>
        <v>0</v>
      </c>
      <c r="Q1103" s="199">
        <f t="shared" si="310"/>
        <v>0</v>
      </c>
      <c r="U1103" s="64"/>
      <c r="V1103" s="64"/>
      <c r="W1103" s="64"/>
      <c r="X1103" s="64"/>
      <c r="Y1103" s="64"/>
      <c r="Z1103" s="64"/>
      <c r="AA1103" s="64"/>
      <c r="AB1103" s="64"/>
      <c r="AC1103" s="54"/>
      <c r="AD1103" s="64"/>
      <c r="AE1103" s="64"/>
      <c r="AF1103" s="64"/>
      <c r="AG1103" s="62" t="str">
        <f t="shared" si="311"/>
        <v>Hide Row</v>
      </c>
    </row>
    <row r="1104" spans="2:33">
      <c r="C1104" s="52" t="s">
        <v>467</v>
      </c>
      <c r="E1104" s="199">
        <f t="shared" si="310"/>
        <v>0</v>
      </c>
      <c r="F1104" s="199">
        <f t="shared" si="310"/>
        <v>0</v>
      </c>
      <c r="G1104" s="199">
        <f t="shared" si="310"/>
        <v>0</v>
      </c>
      <c r="H1104" s="199">
        <f t="shared" si="310"/>
        <v>0</v>
      </c>
      <c r="I1104" s="199">
        <f t="shared" si="310"/>
        <v>0</v>
      </c>
      <c r="J1104" s="199">
        <f t="shared" si="310"/>
        <v>0</v>
      </c>
      <c r="K1104" s="199">
        <f t="shared" si="310"/>
        <v>0</v>
      </c>
      <c r="L1104" s="199">
        <f t="shared" si="310"/>
        <v>0</v>
      </c>
      <c r="M1104" s="199">
        <f t="shared" si="310"/>
        <v>0</v>
      </c>
      <c r="N1104" s="199">
        <f t="shared" si="310"/>
        <v>0</v>
      </c>
      <c r="O1104" s="199">
        <f t="shared" si="310"/>
        <v>0</v>
      </c>
      <c r="P1104" s="199">
        <f t="shared" si="310"/>
        <v>0</v>
      </c>
      <c r="Q1104" s="199">
        <f t="shared" si="310"/>
        <v>0</v>
      </c>
      <c r="U1104" s="64"/>
      <c r="V1104" s="64"/>
      <c r="W1104" s="64"/>
      <c r="X1104" s="64"/>
      <c r="Y1104" s="64"/>
      <c r="Z1104" s="64"/>
      <c r="AA1104" s="64"/>
      <c r="AB1104" s="64"/>
      <c r="AC1104" s="54"/>
      <c r="AD1104" s="64"/>
      <c r="AE1104" s="64"/>
      <c r="AF1104" s="64"/>
      <c r="AG1104" s="62" t="str">
        <f t="shared" si="311"/>
        <v>Hide Row</v>
      </c>
    </row>
    <row r="1105" spans="1:33">
      <c r="C1105" s="52" t="s">
        <v>469</v>
      </c>
      <c r="E1105" s="199">
        <f t="shared" si="310"/>
        <v>0</v>
      </c>
      <c r="F1105" s="199">
        <f t="shared" si="310"/>
        <v>0</v>
      </c>
      <c r="G1105" s="199">
        <f t="shared" si="310"/>
        <v>0</v>
      </c>
      <c r="H1105" s="199">
        <f t="shared" si="310"/>
        <v>0</v>
      </c>
      <c r="I1105" s="199">
        <f t="shared" si="310"/>
        <v>0</v>
      </c>
      <c r="J1105" s="199">
        <f t="shared" si="310"/>
        <v>0</v>
      </c>
      <c r="K1105" s="199">
        <f t="shared" si="310"/>
        <v>0</v>
      </c>
      <c r="L1105" s="199">
        <f t="shared" si="310"/>
        <v>0</v>
      </c>
      <c r="M1105" s="199">
        <f t="shared" si="310"/>
        <v>0</v>
      </c>
      <c r="N1105" s="199">
        <f t="shared" si="310"/>
        <v>0</v>
      </c>
      <c r="O1105" s="199">
        <f t="shared" si="310"/>
        <v>0</v>
      </c>
      <c r="P1105" s="199">
        <f t="shared" si="310"/>
        <v>0</v>
      </c>
      <c r="Q1105" s="199">
        <f t="shared" si="310"/>
        <v>0</v>
      </c>
      <c r="U1105" s="64"/>
      <c r="V1105" s="64"/>
      <c r="W1105" s="64"/>
      <c r="X1105" s="64"/>
      <c r="Y1105" s="64"/>
      <c r="Z1105" s="64"/>
      <c r="AA1105" s="64"/>
      <c r="AB1105" s="64"/>
      <c r="AC1105" s="54"/>
      <c r="AD1105" s="64"/>
      <c r="AE1105" s="64"/>
      <c r="AF1105" s="64"/>
      <c r="AG1105" s="62" t="str">
        <f t="shared" si="311"/>
        <v>Hide Row</v>
      </c>
    </row>
    <row r="1106" spans="1:33">
      <c r="C1106" s="52" t="s">
        <v>470</v>
      </c>
      <c r="E1106" s="199">
        <f t="shared" si="310"/>
        <v>30.126622433156715</v>
      </c>
      <c r="F1106" s="199">
        <f t="shared" si="310"/>
        <v>28.007503066194968</v>
      </c>
      <c r="G1106" s="199">
        <f t="shared" si="310"/>
        <v>28.309459367661681</v>
      </c>
      <c r="H1106" s="199">
        <f t="shared" si="310"/>
        <v>30.094276305150981</v>
      </c>
      <c r="I1106" s="199">
        <f t="shared" si="310"/>
        <v>27.901831989383187</v>
      </c>
      <c r="J1106" s="199">
        <f t="shared" si="310"/>
        <v>27.689819511032695</v>
      </c>
      <c r="K1106" s="199">
        <f t="shared" si="310"/>
        <v>29.368547870493082</v>
      </c>
      <c r="L1106" s="199">
        <f t="shared" si="310"/>
        <v>28.81849191236125</v>
      </c>
      <c r="M1106" s="199">
        <f t="shared" si="310"/>
        <v>30.919790556237267</v>
      </c>
      <c r="N1106" s="199">
        <f t="shared" si="310"/>
        <v>32.170751931275674</v>
      </c>
      <c r="O1106" s="199">
        <f t="shared" si="310"/>
        <v>32.706653258403726</v>
      </c>
      <c r="P1106" s="199">
        <f t="shared" si="310"/>
        <v>32.492165000621213</v>
      </c>
      <c r="Q1106" s="199">
        <f t="shared" si="310"/>
        <v>31.99075884402507</v>
      </c>
      <c r="AC1106" s="54"/>
      <c r="AG1106" s="62" t="str">
        <f t="shared" si="311"/>
        <v/>
      </c>
    </row>
    <row r="1107" spans="1:33">
      <c r="C1107" s="52" t="s">
        <v>472</v>
      </c>
      <c r="E1107" s="199">
        <f t="shared" si="310"/>
        <v>0</v>
      </c>
      <c r="F1107" s="199">
        <f t="shared" si="310"/>
        <v>0</v>
      </c>
      <c r="G1107" s="199">
        <f t="shared" si="310"/>
        <v>0</v>
      </c>
      <c r="H1107" s="199">
        <f t="shared" si="310"/>
        <v>0</v>
      </c>
      <c r="I1107" s="199">
        <f t="shared" si="310"/>
        <v>0</v>
      </c>
      <c r="J1107" s="199">
        <f t="shared" si="310"/>
        <v>0</v>
      </c>
      <c r="K1107" s="199">
        <f t="shared" si="310"/>
        <v>0</v>
      </c>
      <c r="L1107" s="199">
        <f t="shared" si="310"/>
        <v>0</v>
      </c>
      <c r="M1107" s="199">
        <f t="shared" si="310"/>
        <v>0</v>
      </c>
      <c r="N1107" s="199">
        <f t="shared" si="310"/>
        <v>0</v>
      </c>
      <c r="O1107" s="199">
        <f t="shared" si="310"/>
        <v>0</v>
      </c>
      <c r="P1107" s="199">
        <f t="shared" si="310"/>
        <v>0</v>
      </c>
      <c r="Q1107" s="199">
        <f t="shared" si="310"/>
        <v>0</v>
      </c>
      <c r="AC1107" s="54"/>
      <c r="AG1107" s="62" t="str">
        <f t="shared" si="311"/>
        <v>Hide Row</v>
      </c>
    </row>
    <row r="1108" spans="1:33">
      <c r="C1108" s="52" t="s">
        <v>644</v>
      </c>
      <c r="E1108" s="199">
        <f t="shared" si="310"/>
        <v>0</v>
      </c>
      <c r="F1108" s="199">
        <f t="shared" si="310"/>
        <v>0</v>
      </c>
      <c r="G1108" s="199">
        <f t="shared" si="310"/>
        <v>0</v>
      </c>
      <c r="H1108" s="199">
        <f t="shared" si="310"/>
        <v>0</v>
      </c>
      <c r="I1108" s="199">
        <f t="shared" si="310"/>
        <v>0</v>
      </c>
      <c r="J1108" s="199">
        <f t="shared" si="310"/>
        <v>0</v>
      </c>
      <c r="K1108" s="199">
        <f t="shared" si="310"/>
        <v>0</v>
      </c>
      <c r="L1108" s="199">
        <f t="shared" si="310"/>
        <v>0</v>
      </c>
      <c r="M1108" s="199">
        <f t="shared" si="310"/>
        <v>0</v>
      </c>
      <c r="N1108" s="199">
        <f t="shared" si="310"/>
        <v>0</v>
      </c>
      <c r="O1108" s="199">
        <f t="shared" si="310"/>
        <v>0</v>
      </c>
      <c r="P1108" s="199">
        <f t="shared" si="310"/>
        <v>0</v>
      </c>
      <c r="Q1108" s="199">
        <f t="shared" si="310"/>
        <v>0</v>
      </c>
      <c r="AC1108" s="54"/>
      <c r="AG1108" s="62" t="str">
        <f t="shared" si="311"/>
        <v>Hide Row</v>
      </c>
    </row>
    <row r="1109" spans="1:33">
      <c r="C1109" s="52" t="s">
        <v>473</v>
      </c>
      <c r="E1109" s="199">
        <f t="shared" si="310"/>
        <v>0</v>
      </c>
      <c r="F1109" s="199">
        <f t="shared" si="310"/>
        <v>0</v>
      </c>
      <c r="G1109" s="199">
        <f t="shared" si="310"/>
        <v>0</v>
      </c>
      <c r="H1109" s="199">
        <f t="shared" si="310"/>
        <v>0</v>
      </c>
      <c r="I1109" s="199">
        <f t="shared" si="310"/>
        <v>0</v>
      </c>
      <c r="J1109" s="199">
        <f t="shared" si="310"/>
        <v>0</v>
      </c>
      <c r="K1109" s="199">
        <f t="shared" si="310"/>
        <v>0</v>
      </c>
      <c r="L1109" s="199">
        <f t="shared" si="310"/>
        <v>0</v>
      </c>
      <c r="M1109" s="199">
        <f t="shared" si="310"/>
        <v>0</v>
      </c>
      <c r="N1109" s="199">
        <f t="shared" si="310"/>
        <v>0</v>
      </c>
      <c r="O1109" s="199">
        <f t="shared" si="310"/>
        <v>0</v>
      </c>
      <c r="P1109" s="199">
        <f t="shared" si="310"/>
        <v>0</v>
      </c>
      <c r="Q1109" s="199">
        <f t="shared" si="310"/>
        <v>0</v>
      </c>
      <c r="AC1109" s="54"/>
      <c r="AG1109" s="62" t="str">
        <f t="shared" si="311"/>
        <v>Hide Row</v>
      </c>
    </row>
    <row r="1110" spans="1:33">
      <c r="C1110" s="52" t="s">
        <v>474</v>
      </c>
      <c r="E1110" s="199">
        <f t="shared" si="310"/>
        <v>0</v>
      </c>
      <c r="F1110" s="199">
        <f t="shared" si="310"/>
        <v>0</v>
      </c>
      <c r="G1110" s="199">
        <f t="shared" si="310"/>
        <v>0</v>
      </c>
      <c r="H1110" s="199">
        <f t="shared" si="310"/>
        <v>0</v>
      </c>
      <c r="I1110" s="199">
        <f t="shared" si="310"/>
        <v>0</v>
      </c>
      <c r="J1110" s="199">
        <f t="shared" si="310"/>
        <v>0</v>
      </c>
      <c r="K1110" s="199">
        <f t="shared" si="310"/>
        <v>0</v>
      </c>
      <c r="L1110" s="199">
        <f t="shared" si="310"/>
        <v>0</v>
      </c>
      <c r="M1110" s="199">
        <f t="shared" si="310"/>
        <v>0</v>
      </c>
      <c r="N1110" s="199">
        <f t="shared" si="310"/>
        <v>0</v>
      </c>
      <c r="O1110" s="199">
        <f t="shared" si="310"/>
        <v>0</v>
      </c>
      <c r="P1110" s="199">
        <f t="shared" si="310"/>
        <v>0</v>
      </c>
      <c r="Q1110" s="199">
        <f t="shared" si="310"/>
        <v>0</v>
      </c>
      <c r="AC1110" s="54"/>
      <c r="AG1110" s="62" t="str">
        <f t="shared" si="311"/>
        <v>Hide Row</v>
      </c>
    </row>
    <row r="1111" spans="1:33" hidden="1">
      <c r="C1111" s="52" t="s">
        <v>475</v>
      </c>
      <c r="E1111" s="199">
        <f t="shared" si="310"/>
        <v>0</v>
      </c>
      <c r="F1111" s="199">
        <f t="shared" si="310"/>
        <v>0</v>
      </c>
      <c r="G1111" s="199">
        <f t="shared" si="310"/>
        <v>0</v>
      </c>
      <c r="H1111" s="199">
        <f t="shared" si="310"/>
        <v>0</v>
      </c>
      <c r="I1111" s="199">
        <f t="shared" si="310"/>
        <v>0</v>
      </c>
      <c r="J1111" s="199">
        <f t="shared" si="310"/>
        <v>0</v>
      </c>
      <c r="K1111" s="199">
        <f t="shared" si="310"/>
        <v>0</v>
      </c>
      <c r="L1111" s="199">
        <f t="shared" si="310"/>
        <v>0</v>
      </c>
      <c r="M1111" s="199">
        <f t="shared" si="310"/>
        <v>0</v>
      </c>
      <c r="N1111" s="199">
        <f t="shared" si="310"/>
        <v>0</v>
      </c>
      <c r="O1111" s="199">
        <f t="shared" si="310"/>
        <v>0</v>
      </c>
      <c r="P1111" s="199">
        <f t="shared" si="310"/>
        <v>0</v>
      </c>
      <c r="Q1111" s="199">
        <f t="shared" si="310"/>
        <v>0</v>
      </c>
      <c r="AC1111" s="54"/>
      <c r="AG1111" s="62" t="str">
        <f t="shared" si="311"/>
        <v>Hide Row</v>
      </c>
    </row>
    <row r="1112" spans="1:33">
      <c r="E1112" s="199"/>
      <c r="F1112" s="199"/>
      <c r="G1112" s="199"/>
      <c r="H1112" s="199"/>
      <c r="I1112" s="199"/>
      <c r="J1112" s="199"/>
      <c r="K1112" s="199"/>
      <c r="L1112" s="199"/>
      <c r="M1112" s="199"/>
      <c r="N1112" s="199"/>
      <c r="O1112" s="199"/>
      <c r="P1112" s="199"/>
      <c r="Q1112" s="199"/>
      <c r="AC1112" s="54"/>
    </row>
    <row r="1113" spans="1:33">
      <c r="A1113" s="41" t="s">
        <v>609</v>
      </c>
      <c r="E1113" s="199">
        <f t="shared" ref="E1113:Q1113" si="312">IF(E600=0,0,E288/E600)</f>
        <v>39.03345043565907</v>
      </c>
      <c r="F1113" s="199">
        <f t="shared" si="312"/>
        <v>43.379926200919286</v>
      </c>
      <c r="G1113" s="199">
        <f t="shared" si="312"/>
        <v>87.764062858410057</v>
      </c>
      <c r="H1113" s="199">
        <f t="shared" si="312"/>
        <v>1054.3541647808299</v>
      </c>
      <c r="I1113" s="199">
        <f t="shared" si="312"/>
        <v>33.304662610369498</v>
      </c>
      <c r="J1113" s="199">
        <f t="shared" si="312"/>
        <v>32.672701198829117</v>
      </c>
      <c r="K1113" s="199">
        <f t="shared" si="312"/>
        <v>35.169079385901526</v>
      </c>
      <c r="L1113" s="199">
        <f t="shared" si="312"/>
        <v>35.019168126435517</v>
      </c>
      <c r="M1113" s="199">
        <f t="shared" si="312"/>
        <v>40.925339863463719</v>
      </c>
      <c r="N1113" s="199">
        <f t="shared" si="312"/>
        <v>42.470476128450677</v>
      </c>
      <c r="O1113" s="199">
        <f t="shared" si="312"/>
        <v>43.054959310475525</v>
      </c>
      <c r="P1113" s="199">
        <f t="shared" si="312"/>
        <v>41.559725880587621</v>
      </c>
      <c r="Q1113" s="199">
        <f t="shared" si="312"/>
        <v>44.815381408242871</v>
      </c>
      <c r="AC1113" s="54"/>
    </row>
    <row r="1114" spans="1:33">
      <c r="E1114" s="151"/>
      <c r="F1114" s="151"/>
      <c r="G1114" s="151"/>
      <c r="H1114" s="151"/>
      <c r="I1114" s="151"/>
      <c r="J1114" s="151"/>
      <c r="K1114" s="151"/>
      <c r="L1114" s="151"/>
      <c r="M1114" s="151"/>
      <c r="N1114" s="151"/>
      <c r="O1114" s="151"/>
      <c r="P1114" s="151"/>
      <c r="Q1114" s="151"/>
      <c r="AC1114" s="54"/>
    </row>
    <row r="1115" spans="1:33">
      <c r="A1115" s="41" t="s">
        <v>610</v>
      </c>
      <c r="E1115" s="64"/>
      <c r="F1115" s="64">
        <v>1</v>
      </c>
      <c r="G1115" s="64">
        <v>2</v>
      </c>
      <c r="H1115" s="64">
        <v>3</v>
      </c>
      <c r="I1115" s="64">
        <v>4</v>
      </c>
      <c r="J1115" s="64">
        <v>5</v>
      </c>
      <c r="K1115" s="64">
        <v>6</v>
      </c>
      <c r="L1115" s="64">
        <v>7</v>
      </c>
      <c r="M1115" s="64">
        <v>8</v>
      </c>
      <c r="N1115" s="64">
        <v>9</v>
      </c>
      <c r="O1115" s="64" t="e">
        <v>#N/A</v>
      </c>
      <c r="P1115" s="64" t="e">
        <v>#N/A</v>
      </c>
      <c r="Q1115" s="64" t="e">
        <v>#N/A</v>
      </c>
      <c r="AC1115" s="54"/>
    </row>
    <row r="1116" spans="1:33">
      <c r="A1116" s="41" t="s">
        <v>611</v>
      </c>
      <c r="E1116" s="64"/>
      <c r="F1116" s="64">
        <v>1</v>
      </c>
      <c r="G1116" s="64">
        <v>2</v>
      </c>
      <c r="H1116" s="64">
        <v>3</v>
      </c>
      <c r="I1116" s="64">
        <v>4</v>
      </c>
      <c r="J1116" s="64">
        <v>5</v>
      </c>
      <c r="K1116" s="64">
        <v>6</v>
      </c>
      <c r="L1116" s="64">
        <v>7</v>
      </c>
      <c r="M1116" s="64">
        <v>8</v>
      </c>
      <c r="N1116" s="64">
        <v>9</v>
      </c>
      <c r="O1116" s="64">
        <v>10</v>
      </c>
      <c r="P1116" s="64">
        <v>11</v>
      </c>
      <c r="Q1116" s="64">
        <v>12</v>
      </c>
      <c r="AC1116" s="54"/>
    </row>
    <row r="1117" spans="1:33">
      <c r="E1117" s="151"/>
      <c r="F1117" s="151"/>
      <c r="G1117" s="151"/>
      <c r="H1117" s="151"/>
      <c r="I1117" s="151"/>
      <c r="J1117" s="151"/>
      <c r="K1117" s="151"/>
      <c r="L1117" s="151"/>
      <c r="M1117" s="151"/>
      <c r="N1117" s="151"/>
      <c r="O1117" s="151"/>
      <c r="P1117" s="151"/>
      <c r="Q1117" s="151"/>
      <c r="AC1117" s="54"/>
    </row>
    <row r="1118" spans="1:33" s="47" customFormat="1">
      <c r="C1118" s="117"/>
      <c r="E1118" s="200" t="str">
        <f t="shared" ref="E1118:Q1118" si="313">E$3</f>
        <v>04/15-03/16</v>
      </c>
      <c r="F1118" s="201">
        <f t="shared" si="313"/>
        <v>42095</v>
      </c>
      <c r="G1118" s="201">
        <f t="shared" si="313"/>
        <v>42125</v>
      </c>
      <c r="H1118" s="201">
        <f t="shared" si="313"/>
        <v>42156</v>
      </c>
      <c r="I1118" s="201">
        <f t="shared" si="313"/>
        <v>42186</v>
      </c>
      <c r="J1118" s="201">
        <f t="shared" si="313"/>
        <v>42217</v>
      </c>
      <c r="K1118" s="201">
        <f t="shared" si="313"/>
        <v>42248</v>
      </c>
      <c r="L1118" s="201">
        <f t="shared" si="313"/>
        <v>42278</v>
      </c>
      <c r="M1118" s="201">
        <f t="shared" si="313"/>
        <v>42309</v>
      </c>
      <c r="N1118" s="201">
        <f t="shared" si="313"/>
        <v>42339</v>
      </c>
      <c r="O1118" s="201">
        <f t="shared" si="313"/>
        <v>42370</v>
      </c>
      <c r="P1118" s="201">
        <f t="shared" si="313"/>
        <v>42401</v>
      </c>
      <c r="Q1118" s="201">
        <f t="shared" si="313"/>
        <v>42430</v>
      </c>
      <c r="R1118" s="53"/>
      <c r="T1118" s="54"/>
      <c r="AC1118" s="54"/>
    </row>
    <row r="1119" spans="1:33">
      <c r="F1119" s="51">
        <v>13</v>
      </c>
      <c r="G1119" s="51">
        <v>14</v>
      </c>
      <c r="H1119" s="51">
        <v>15</v>
      </c>
      <c r="I1119" s="51">
        <v>16</v>
      </c>
      <c r="J1119" s="51">
        <v>17</v>
      </c>
      <c r="K1119" s="51">
        <v>18</v>
      </c>
      <c r="L1119" s="51">
        <v>19</v>
      </c>
      <c r="M1119" s="51">
        <v>20</v>
      </c>
      <c r="N1119" s="51">
        <v>21</v>
      </c>
      <c r="O1119" s="51">
        <v>22</v>
      </c>
      <c r="P1119" s="51">
        <v>23</v>
      </c>
      <c r="Q1119" s="51">
        <v>24</v>
      </c>
    </row>
    <row r="1120" spans="1:33">
      <c r="A1120" s="41" t="s">
        <v>612</v>
      </c>
      <c r="E1120" s="151">
        <f>SUM(F1120:Q1120)</f>
        <v>8784</v>
      </c>
      <c r="F1120" s="51">
        <f>(G1118-F1118)*24</f>
        <v>720</v>
      </c>
      <c r="G1120" s="51">
        <f t="shared" ref="G1120:P1120" si="314">(H1118-G1118)*24</f>
        <v>744</v>
      </c>
      <c r="H1120" s="51">
        <f t="shared" si="314"/>
        <v>720</v>
      </c>
      <c r="I1120" s="51">
        <f t="shared" si="314"/>
        <v>744</v>
      </c>
      <c r="J1120" s="51">
        <f t="shared" si="314"/>
        <v>744</v>
      </c>
      <c r="K1120" s="51">
        <f t="shared" si="314"/>
        <v>720</v>
      </c>
      <c r="L1120" s="51">
        <f t="shared" si="314"/>
        <v>744</v>
      </c>
      <c r="M1120" s="51">
        <f t="shared" si="314"/>
        <v>720</v>
      </c>
      <c r="N1120" s="51">
        <f t="shared" si="314"/>
        <v>744</v>
      </c>
      <c r="O1120" s="51">
        <f t="shared" si="314"/>
        <v>744</v>
      </c>
      <c r="P1120" s="51">
        <f t="shared" si="314"/>
        <v>696</v>
      </c>
      <c r="Q1120" s="51">
        <f>(DATE(YEAR(Q1118),MONTH(Q1118)+1,1)-Q1118)*24</f>
        <v>744</v>
      </c>
      <c r="AC1120" s="54"/>
    </row>
    <row r="1121" spans="1:29">
      <c r="D1121" s="202"/>
      <c r="E1121" s="203"/>
      <c r="Q1121" s="54"/>
      <c r="T1121" s="51"/>
    </row>
    <row r="1122" spans="1:29">
      <c r="A1122" s="83" t="s">
        <v>613</v>
      </c>
      <c r="B1122" s="58"/>
      <c r="C1122" s="85"/>
      <c r="E1122" s="151"/>
      <c r="F1122" s="151"/>
      <c r="G1122" s="151"/>
      <c r="H1122" s="151"/>
      <c r="I1122" s="151"/>
      <c r="J1122" s="151"/>
      <c r="K1122" s="151"/>
      <c r="L1122" s="151"/>
      <c r="M1122" s="151"/>
      <c r="N1122" s="151"/>
      <c r="O1122" s="151"/>
      <c r="P1122" s="151"/>
      <c r="Q1122" s="151"/>
      <c r="AC1122" s="54"/>
    </row>
    <row r="1123" spans="1:29">
      <c r="A1123" s="83"/>
      <c r="B1123" s="85"/>
      <c r="C1123" s="85" t="s">
        <v>263</v>
      </c>
      <c r="D1123" s="85"/>
      <c r="E1123" s="92">
        <f t="shared" ref="E1123:E1128" si="315">SUM(F1123:Q1123)</f>
        <v>0</v>
      </c>
      <c r="F1123" s="92">
        <v>0</v>
      </c>
      <c r="G1123" s="92">
        <v>0</v>
      </c>
      <c r="H1123" s="92">
        <v>0</v>
      </c>
      <c r="I1123" s="92">
        <v>0</v>
      </c>
      <c r="J1123" s="92">
        <v>0</v>
      </c>
      <c r="K1123" s="92">
        <v>0</v>
      </c>
      <c r="L1123" s="92">
        <v>0</v>
      </c>
      <c r="M1123" s="92">
        <v>0</v>
      </c>
      <c r="N1123" s="92">
        <v>0</v>
      </c>
      <c r="O1123" s="92">
        <v>0</v>
      </c>
      <c r="P1123" s="92">
        <v>0</v>
      </c>
      <c r="Q1123" s="92">
        <v>0</v>
      </c>
      <c r="U1123" s="60" t="e">
        <v>#N/A</v>
      </c>
      <c r="V1123" s="84" t="s">
        <v>614</v>
      </c>
      <c r="AC1123" s="54"/>
    </row>
    <row r="1124" spans="1:29">
      <c r="A1124" s="83"/>
      <c r="B1124" s="85"/>
      <c r="C1124" s="85" t="s">
        <v>269</v>
      </c>
      <c r="D1124" s="85"/>
      <c r="E1124" s="92">
        <f t="shared" si="315"/>
        <v>0</v>
      </c>
      <c r="F1124" s="92">
        <v>0</v>
      </c>
      <c r="G1124" s="92">
        <v>0</v>
      </c>
      <c r="H1124" s="92">
        <v>0</v>
      </c>
      <c r="I1124" s="92">
        <v>0</v>
      </c>
      <c r="J1124" s="92">
        <v>0</v>
      </c>
      <c r="K1124" s="92">
        <v>0</v>
      </c>
      <c r="L1124" s="92">
        <v>0</v>
      </c>
      <c r="M1124" s="92">
        <v>0</v>
      </c>
      <c r="N1124" s="92">
        <v>0</v>
      </c>
      <c r="O1124" s="92">
        <v>0</v>
      </c>
      <c r="P1124" s="92">
        <v>0</v>
      </c>
      <c r="Q1124" s="92">
        <v>0</v>
      </c>
      <c r="U1124" s="60" t="e">
        <v>#N/A</v>
      </c>
      <c r="V1124" s="84" t="s">
        <v>615</v>
      </c>
      <c r="AC1124" s="54"/>
    </row>
    <row r="1125" spans="1:29">
      <c r="A1125" s="83"/>
      <c r="B1125" s="85"/>
      <c r="C1125" s="85" t="s">
        <v>275</v>
      </c>
      <c r="D1125" s="85"/>
      <c r="E1125" s="92">
        <f t="shared" si="315"/>
        <v>0</v>
      </c>
      <c r="F1125" s="92">
        <v>0</v>
      </c>
      <c r="G1125" s="92">
        <v>0</v>
      </c>
      <c r="H1125" s="92">
        <v>0</v>
      </c>
      <c r="I1125" s="92">
        <v>0</v>
      </c>
      <c r="J1125" s="92">
        <v>0</v>
      </c>
      <c r="K1125" s="92">
        <v>0</v>
      </c>
      <c r="L1125" s="92">
        <v>0</v>
      </c>
      <c r="M1125" s="92">
        <v>0</v>
      </c>
      <c r="N1125" s="92">
        <v>0</v>
      </c>
      <c r="O1125" s="92">
        <v>0</v>
      </c>
      <c r="P1125" s="92">
        <v>0</v>
      </c>
      <c r="Q1125" s="92">
        <v>0</v>
      </c>
      <c r="U1125" s="60" t="e">
        <v>#N/A</v>
      </c>
      <c r="V1125" s="84" t="s">
        <v>616</v>
      </c>
      <c r="AC1125" s="54"/>
    </row>
    <row r="1126" spans="1:29">
      <c r="A1126" s="83"/>
      <c r="B1126" s="85"/>
      <c r="C1126" s="85" t="s">
        <v>281</v>
      </c>
      <c r="D1126" s="85"/>
      <c r="E1126" s="92">
        <f t="shared" si="315"/>
        <v>0</v>
      </c>
      <c r="F1126" s="92">
        <v>0</v>
      </c>
      <c r="G1126" s="92">
        <v>0</v>
      </c>
      <c r="H1126" s="92">
        <v>0</v>
      </c>
      <c r="I1126" s="92">
        <v>0</v>
      </c>
      <c r="J1126" s="92">
        <v>0</v>
      </c>
      <c r="K1126" s="92">
        <v>0</v>
      </c>
      <c r="L1126" s="92">
        <v>0</v>
      </c>
      <c r="M1126" s="92">
        <v>0</v>
      </c>
      <c r="N1126" s="92">
        <v>0</v>
      </c>
      <c r="O1126" s="92">
        <v>0</v>
      </c>
      <c r="P1126" s="92">
        <v>0</v>
      </c>
      <c r="Q1126" s="92">
        <v>0</v>
      </c>
      <c r="U1126" s="60" t="e">
        <v>#N/A</v>
      </c>
      <c r="V1126" s="84" t="s">
        <v>617</v>
      </c>
      <c r="AC1126" s="54"/>
    </row>
    <row r="1127" spans="1:29">
      <c r="A1127" s="83"/>
      <c r="B1127" s="85"/>
      <c r="C1127" s="85" t="s">
        <v>287</v>
      </c>
      <c r="D1127" s="85"/>
      <c r="E1127" s="92">
        <f t="shared" si="315"/>
        <v>0</v>
      </c>
      <c r="F1127" s="92">
        <v>0</v>
      </c>
      <c r="G1127" s="92">
        <v>0</v>
      </c>
      <c r="H1127" s="92">
        <v>0</v>
      </c>
      <c r="I1127" s="92">
        <v>0</v>
      </c>
      <c r="J1127" s="92">
        <v>0</v>
      </c>
      <c r="K1127" s="92">
        <v>0</v>
      </c>
      <c r="L1127" s="92">
        <v>0</v>
      </c>
      <c r="M1127" s="92">
        <v>0</v>
      </c>
      <c r="N1127" s="92">
        <v>0</v>
      </c>
      <c r="O1127" s="92">
        <v>0</v>
      </c>
      <c r="P1127" s="92">
        <v>0</v>
      </c>
      <c r="Q1127" s="92">
        <v>0</v>
      </c>
      <c r="U1127" s="60">
        <v>44</v>
      </c>
      <c r="V1127" s="84" t="s">
        <v>618</v>
      </c>
      <c r="AC1127" s="54"/>
    </row>
    <row r="1128" spans="1:29">
      <c r="A1128" s="83"/>
      <c r="B1128" s="85"/>
      <c r="C1128" s="85" t="s">
        <v>293</v>
      </c>
      <c r="D1128" s="85"/>
      <c r="E1128" s="92">
        <f t="shared" si="315"/>
        <v>0</v>
      </c>
      <c r="F1128" s="92">
        <v>0</v>
      </c>
      <c r="G1128" s="92">
        <v>0</v>
      </c>
      <c r="H1128" s="92">
        <v>0</v>
      </c>
      <c r="I1128" s="92">
        <v>0</v>
      </c>
      <c r="J1128" s="92">
        <v>0</v>
      </c>
      <c r="K1128" s="92">
        <v>0</v>
      </c>
      <c r="L1128" s="92">
        <v>0</v>
      </c>
      <c r="M1128" s="92">
        <v>0</v>
      </c>
      <c r="N1128" s="92">
        <v>0</v>
      </c>
      <c r="O1128" s="92">
        <v>0</v>
      </c>
      <c r="P1128" s="92">
        <v>0</v>
      </c>
      <c r="Q1128" s="92">
        <v>0</v>
      </c>
      <c r="U1128" s="60" t="e">
        <v>#N/A</v>
      </c>
      <c r="V1128" s="84" t="s">
        <v>619</v>
      </c>
      <c r="AC1128" s="54"/>
    </row>
    <row r="1129" spans="1:29">
      <c r="C1129" s="85"/>
      <c r="E1129" s="138"/>
      <c r="F1129" s="92"/>
      <c r="G1129" s="92"/>
      <c r="H1129" s="92"/>
      <c r="I1129" s="92"/>
      <c r="J1129" s="92"/>
      <c r="K1129" s="92"/>
      <c r="L1129" s="92"/>
      <c r="M1129" s="92"/>
      <c r="N1129" s="92"/>
      <c r="O1129" s="92"/>
      <c r="P1129" s="92"/>
      <c r="Q1129" s="92"/>
      <c r="Z1129" s="70"/>
      <c r="AB1129" s="70"/>
    </row>
    <row r="1130" spans="1:29">
      <c r="A1130" s="83" t="s">
        <v>620</v>
      </c>
      <c r="B1130" s="58"/>
      <c r="C1130" s="85"/>
      <c r="E1130" s="151"/>
      <c r="F1130" s="151"/>
      <c r="G1130" s="151"/>
      <c r="H1130" s="151"/>
      <c r="I1130" s="151"/>
      <c r="J1130" s="151"/>
      <c r="K1130" s="151"/>
      <c r="L1130" s="151"/>
      <c r="M1130" s="151"/>
      <c r="N1130" s="151"/>
      <c r="O1130" s="151"/>
      <c r="P1130" s="151"/>
      <c r="Q1130" s="151"/>
      <c r="AC1130" s="54"/>
    </row>
    <row r="1131" spans="1:29">
      <c r="A1131" s="83"/>
      <c r="B1131" s="85"/>
      <c r="C1131" s="85" t="s">
        <v>263</v>
      </c>
      <c r="D1131" s="85"/>
      <c r="E1131" s="92">
        <f t="shared" ref="E1131:E1136" si="316">SUM(F1131:Q1131)</f>
        <v>0</v>
      </c>
      <c r="F1131" s="92">
        <v>0</v>
      </c>
      <c r="G1131" s="92">
        <v>0</v>
      </c>
      <c r="H1131" s="92">
        <v>0</v>
      </c>
      <c r="I1131" s="92">
        <v>0</v>
      </c>
      <c r="J1131" s="92">
        <v>0</v>
      </c>
      <c r="K1131" s="92">
        <v>0</v>
      </c>
      <c r="L1131" s="92">
        <v>0</v>
      </c>
      <c r="M1131" s="92">
        <v>0</v>
      </c>
      <c r="N1131" s="92">
        <v>0</v>
      </c>
      <c r="O1131" s="92">
        <v>0</v>
      </c>
      <c r="P1131" s="92">
        <v>0</v>
      </c>
      <c r="Q1131" s="92">
        <v>0</v>
      </c>
      <c r="U1131" s="60" t="e">
        <v>#N/A</v>
      </c>
      <c r="V1131" s="84" t="s">
        <v>621</v>
      </c>
      <c r="AC1131" s="54"/>
    </row>
    <row r="1132" spans="1:29">
      <c r="A1132" s="83"/>
      <c r="B1132" s="85"/>
      <c r="C1132" s="85" t="s">
        <v>269</v>
      </c>
      <c r="D1132" s="85"/>
      <c r="E1132" s="92">
        <f t="shared" si="316"/>
        <v>0</v>
      </c>
      <c r="F1132" s="92">
        <v>0</v>
      </c>
      <c r="G1132" s="92">
        <v>0</v>
      </c>
      <c r="H1132" s="92">
        <v>0</v>
      </c>
      <c r="I1132" s="92">
        <v>0</v>
      </c>
      <c r="J1132" s="92">
        <v>0</v>
      </c>
      <c r="K1132" s="92">
        <v>0</v>
      </c>
      <c r="L1132" s="92">
        <v>0</v>
      </c>
      <c r="M1132" s="92">
        <v>0</v>
      </c>
      <c r="N1132" s="92">
        <v>0</v>
      </c>
      <c r="O1132" s="92">
        <v>0</v>
      </c>
      <c r="P1132" s="92">
        <v>0</v>
      </c>
      <c r="Q1132" s="92">
        <v>0</v>
      </c>
      <c r="U1132" s="60" t="e">
        <v>#N/A</v>
      </c>
      <c r="V1132" s="84" t="s">
        <v>622</v>
      </c>
      <c r="AC1132" s="54"/>
    </row>
    <row r="1133" spans="1:29">
      <c r="A1133" s="83"/>
      <c r="B1133" s="85"/>
      <c r="C1133" s="85" t="s">
        <v>275</v>
      </c>
      <c r="D1133" s="85"/>
      <c r="E1133" s="92">
        <f t="shared" si="316"/>
        <v>0</v>
      </c>
      <c r="F1133" s="92">
        <v>0</v>
      </c>
      <c r="G1133" s="92">
        <v>0</v>
      </c>
      <c r="H1133" s="92">
        <v>0</v>
      </c>
      <c r="I1133" s="92">
        <v>0</v>
      </c>
      <c r="J1133" s="92">
        <v>0</v>
      </c>
      <c r="K1133" s="92">
        <v>0</v>
      </c>
      <c r="L1133" s="92">
        <v>0</v>
      </c>
      <c r="M1133" s="92">
        <v>0</v>
      </c>
      <c r="N1133" s="92">
        <v>0</v>
      </c>
      <c r="O1133" s="92">
        <v>0</v>
      </c>
      <c r="P1133" s="92">
        <v>0</v>
      </c>
      <c r="Q1133" s="92">
        <v>0</v>
      </c>
      <c r="U1133" s="60" t="e">
        <v>#N/A</v>
      </c>
      <c r="V1133" s="84" t="s">
        <v>623</v>
      </c>
      <c r="AC1133" s="54"/>
    </row>
    <row r="1134" spans="1:29">
      <c r="A1134" s="83"/>
      <c r="B1134" s="85"/>
      <c r="C1134" s="85" t="s">
        <v>281</v>
      </c>
      <c r="D1134" s="85"/>
      <c r="E1134" s="92">
        <f t="shared" si="316"/>
        <v>0</v>
      </c>
      <c r="F1134" s="92">
        <v>0</v>
      </c>
      <c r="G1134" s="92">
        <v>0</v>
      </c>
      <c r="H1134" s="92">
        <v>0</v>
      </c>
      <c r="I1134" s="92">
        <v>0</v>
      </c>
      <c r="J1134" s="92">
        <v>0</v>
      </c>
      <c r="K1134" s="92">
        <v>0</v>
      </c>
      <c r="L1134" s="92">
        <v>0</v>
      </c>
      <c r="M1134" s="92">
        <v>0</v>
      </c>
      <c r="N1134" s="92">
        <v>0</v>
      </c>
      <c r="O1134" s="92">
        <v>0</v>
      </c>
      <c r="P1134" s="92">
        <v>0</v>
      </c>
      <c r="Q1134" s="92">
        <v>0</v>
      </c>
      <c r="U1134" s="60" t="e">
        <v>#N/A</v>
      </c>
      <c r="V1134" s="84" t="s">
        <v>624</v>
      </c>
      <c r="AC1134" s="54"/>
    </row>
    <row r="1135" spans="1:29">
      <c r="A1135" s="83"/>
      <c r="B1135" s="85"/>
      <c r="C1135" s="85" t="s">
        <v>287</v>
      </c>
      <c r="D1135" s="85"/>
      <c r="E1135" s="92">
        <f t="shared" si="316"/>
        <v>0</v>
      </c>
      <c r="F1135" s="92">
        <v>0</v>
      </c>
      <c r="G1135" s="92">
        <v>0</v>
      </c>
      <c r="H1135" s="92">
        <v>0</v>
      </c>
      <c r="I1135" s="92">
        <v>0</v>
      </c>
      <c r="J1135" s="92">
        <v>0</v>
      </c>
      <c r="K1135" s="92">
        <v>0</v>
      </c>
      <c r="L1135" s="92">
        <v>0</v>
      </c>
      <c r="M1135" s="92">
        <v>0</v>
      </c>
      <c r="N1135" s="92">
        <v>0</v>
      </c>
      <c r="O1135" s="92">
        <v>0</v>
      </c>
      <c r="P1135" s="92">
        <v>0</v>
      </c>
      <c r="Q1135" s="92">
        <v>0</v>
      </c>
      <c r="U1135" s="60">
        <v>42</v>
      </c>
      <c r="V1135" s="84" t="s">
        <v>625</v>
      </c>
      <c r="AC1135" s="54"/>
    </row>
    <row r="1136" spans="1:29">
      <c r="A1136" s="83"/>
      <c r="B1136" s="85"/>
      <c r="C1136" s="85" t="s">
        <v>293</v>
      </c>
      <c r="D1136" s="85"/>
      <c r="E1136" s="92">
        <f t="shared" si="316"/>
        <v>0</v>
      </c>
      <c r="F1136" s="92">
        <v>0</v>
      </c>
      <c r="G1136" s="92">
        <v>0</v>
      </c>
      <c r="H1136" s="92">
        <v>0</v>
      </c>
      <c r="I1136" s="92">
        <v>0</v>
      </c>
      <c r="J1136" s="92">
        <v>0</v>
      </c>
      <c r="K1136" s="92">
        <v>0</v>
      </c>
      <c r="L1136" s="92">
        <v>0</v>
      </c>
      <c r="M1136" s="92">
        <v>0</v>
      </c>
      <c r="N1136" s="92">
        <v>0</v>
      </c>
      <c r="O1136" s="92">
        <v>0</v>
      </c>
      <c r="P1136" s="92">
        <v>0</v>
      </c>
      <c r="Q1136" s="92">
        <v>0</v>
      </c>
      <c r="U1136" s="60" t="e">
        <v>#N/A</v>
      </c>
      <c r="V1136" s="84" t="s">
        <v>626</v>
      </c>
      <c r="AC1136" s="54"/>
    </row>
    <row r="1137" spans="1:29">
      <c r="C1137" s="85"/>
      <c r="E1137" s="138"/>
      <c r="F1137" s="92"/>
      <c r="G1137" s="92"/>
      <c r="H1137" s="92"/>
      <c r="I1137" s="92"/>
      <c r="J1137" s="92"/>
      <c r="K1137" s="92"/>
      <c r="L1137" s="92"/>
      <c r="M1137" s="92"/>
      <c r="N1137" s="92"/>
      <c r="O1137" s="92"/>
      <c r="P1137" s="92"/>
      <c r="Q1137" s="92"/>
      <c r="Z1137" s="70"/>
      <c r="AB1137" s="70"/>
    </row>
    <row r="1138" spans="1:29">
      <c r="A1138" s="83" t="s">
        <v>627</v>
      </c>
      <c r="B1138" s="58"/>
      <c r="C1138" s="85"/>
      <c r="E1138" s="151"/>
      <c r="F1138" s="151"/>
      <c r="G1138" s="151"/>
      <c r="H1138" s="151"/>
      <c r="I1138" s="151"/>
      <c r="J1138" s="151"/>
      <c r="K1138" s="151"/>
      <c r="L1138" s="151"/>
      <c r="M1138" s="151"/>
      <c r="N1138" s="151"/>
      <c r="O1138" s="151"/>
      <c r="P1138" s="151"/>
      <c r="Q1138" s="151"/>
      <c r="AC1138" s="54"/>
    </row>
    <row r="1139" spans="1:29">
      <c r="A1139" s="83"/>
      <c r="B1139" s="85"/>
      <c r="C1139" s="85" t="s">
        <v>263</v>
      </c>
      <c r="D1139" s="85"/>
      <c r="E1139" s="92">
        <f t="shared" ref="E1139:E1144" si="317">SUM(F1139:Q1139)</f>
        <v>0</v>
      </c>
      <c r="F1139" s="92">
        <v>0</v>
      </c>
      <c r="G1139" s="92">
        <v>0</v>
      </c>
      <c r="H1139" s="92">
        <v>0</v>
      </c>
      <c r="I1139" s="92">
        <v>0</v>
      </c>
      <c r="J1139" s="92">
        <v>0</v>
      </c>
      <c r="K1139" s="92">
        <v>0</v>
      </c>
      <c r="L1139" s="92">
        <v>0</v>
      </c>
      <c r="M1139" s="92">
        <v>0</v>
      </c>
      <c r="N1139" s="92">
        <v>0</v>
      </c>
      <c r="O1139" s="92">
        <v>0</v>
      </c>
      <c r="P1139" s="92">
        <v>0</v>
      </c>
      <c r="Q1139" s="92">
        <v>0</v>
      </c>
      <c r="U1139" s="60" t="e">
        <v>#N/A</v>
      </c>
      <c r="V1139" s="84" t="s">
        <v>628</v>
      </c>
      <c r="AC1139" s="54"/>
    </row>
    <row r="1140" spans="1:29">
      <c r="A1140" s="83"/>
      <c r="B1140" s="85"/>
      <c r="C1140" s="85" t="s">
        <v>269</v>
      </c>
      <c r="D1140" s="85"/>
      <c r="E1140" s="92">
        <f t="shared" si="317"/>
        <v>0</v>
      </c>
      <c r="F1140" s="92">
        <v>0</v>
      </c>
      <c r="G1140" s="92">
        <v>0</v>
      </c>
      <c r="H1140" s="92">
        <v>0</v>
      </c>
      <c r="I1140" s="92">
        <v>0</v>
      </c>
      <c r="J1140" s="92">
        <v>0</v>
      </c>
      <c r="K1140" s="92">
        <v>0</v>
      </c>
      <c r="L1140" s="92">
        <v>0</v>
      </c>
      <c r="M1140" s="92">
        <v>0</v>
      </c>
      <c r="N1140" s="92">
        <v>0</v>
      </c>
      <c r="O1140" s="92">
        <v>0</v>
      </c>
      <c r="P1140" s="92">
        <v>0</v>
      </c>
      <c r="Q1140" s="92">
        <v>0</v>
      </c>
      <c r="U1140" s="60" t="e">
        <v>#N/A</v>
      </c>
      <c r="V1140" s="84" t="s">
        <v>629</v>
      </c>
      <c r="AC1140" s="54"/>
    </row>
    <row r="1141" spans="1:29">
      <c r="A1141" s="83"/>
      <c r="B1141" s="85"/>
      <c r="C1141" s="85" t="s">
        <v>275</v>
      </c>
      <c r="D1141" s="85"/>
      <c r="E1141" s="92">
        <f t="shared" si="317"/>
        <v>0</v>
      </c>
      <c r="F1141" s="92">
        <v>0</v>
      </c>
      <c r="G1141" s="92">
        <v>0</v>
      </c>
      <c r="H1141" s="92">
        <v>0</v>
      </c>
      <c r="I1141" s="92">
        <v>0</v>
      </c>
      <c r="J1141" s="92">
        <v>0</v>
      </c>
      <c r="K1141" s="92">
        <v>0</v>
      </c>
      <c r="L1141" s="92">
        <v>0</v>
      </c>
      <c r="M1141" s="92">
        <v>0</v>
      </c>
      <c r="N1141" s="92">
        <v>0</v>
      </c>
      <c r="O1141" s="92">
        <v>0</v>
      </c>
      <c r="P1141" s="92">
        <v>0</v>
      </c>
      <c r="Q1141" s="92">
        <v>0</v>
      </c>
      <c r="U1141" s="60" t="e">
        <v>#N/A</v>
      </c>
      <c r="V1141" s="84" t="s">
        <v>630</v>
      </c>
      <c r="AC1141" s="54"/>
    </row>
    <row r="1142" spans="1:29">
      <c r="A1142" s="83"/>
      <c r="B1142" s="85"/>
      <c r="C1142" s="85" t="s">
        <v>281</v>
      </c>
      <c r="D1142" s="85"/>
      <c r="E1142" s="92">
        <f t="shared" si="317"/>
        <v>0</v>
      </c>
      <c r="F1142" s="92">
        <v>0</v>
      </c>
      <c r="G1142" s="92">
        <v>0</v>
      </c>
      <c r="H1142" s="92">
        <v>0</v>
      </c>
      <c r="I1142" s="92">
        <v>0</v>
      </c>
      <c r="J1142" s="92">
        <v>0</v>
      </c>
      <c r="K1142" s="92">
        <v>0</v>
      </c>
      <c r="L1142" s="92">
        <v>0</v>
      </c>
      <c r="M1142" s="92">
        <v>0</v>
      </c>
      <c r="N1142" s="92">
        <v>0</v>
      </c>
      <c r="O1142" s="92">
        <v>0</v>
      </c>
      <c r="P1142" s="92">
        <v>0</v>
      </c>
      <c r="Q1142" s="92">
        <v>0</v>
      </c>
      <c r="U1142" s="60" t="e">
        <v>#N/A</v>
      </c>
      <c r="V1142" s="84" t="s">
        <v>631</v>
      </c>
      <c r="AC1142" s="54"/>
    </row>
    <row r="1143" spans="1:29">
      <c r="A1143" s="83"/>
      <c r="B1143" s="85"/>
      <c r="C1143" s="85" t="s">
        <v>287</v>
      </c>
      <c r="D1143" s="85"/>
      <c r="E1143" s="92">
        <f t="shared" si="317"/>
        <v>579500.26299999992</v>
      </c>
      <c r="F1143" s="92">
        <v>31351.687999999998</v>
      </c>
      <c r="G1143" s="92">
        <v>47095.233999999997</v>
      </c>
      <c r="H1143" s="92">
        <v>68316.66</v>
      </c>
      <c r="I1143" s="92">
        <v>84596.36</v>
      </c>
      <c r="J1143" s="92">
        <v>89106.516000000003</v>
      </c>
      <c r="K1143" s="92">
        <v>76402.39</v>
      </c>
      <c r="L1143" s="92">
        <v>43364.61</v>
      </c>
      <c r="M1143" s="92">
        <v>27078.458999999999</v>
      </c>
      <c r="N1143" s="92">
        <v>27022.248</v>
      </c>
      <c r="O1143" s="92">
        <v>28402.613000000001</v>
      </c>
      <c r="P1143" s="92">
        <v>28399.046999999999</v>
      </c>
      <c r="Q1143" s="92">
        <v>28364.437999999998</v>
      </c>
      <c r="U1143" s="60">
        <v>43</v>
      </c>
      <c r="V1143" s="84" t="s">
        <v>632</v>
      </c>
      <c r="AC1143" s="54"/>
    </row>
    <row r="1144" spans="1:29">
      <c r="A1144" s="83"/>
      <c r="B1144" s="85"/>
      <c r="C1144" s="85" t="s">
        <v>293</v>
      </c>
      <c r="D1144" s="85"/>
      <c r="E1144" s="92">
        <f t="shared" si="317"/>
        <v>0</v>
      </c>
      <c r="F1144" s="92">
        <v>0</v>
      </c>
      <c r="G1144" s="92">
        <v>0</v>
      </c>
      <c r="H1144" s="92">
        <v>0</v>
      </c>
      <c r="I1144" s="92">
        <v>0</v>
      </c>
      <c r="J1144" s="92">
        <v>0</v>
      </c>
      <c r="K1144" s="92">
        <v>0</v>
      </c>
      <c r="L1144" s="92">
        <v>0</v>
      </c>
      <c r="M1144" s="92">
        <v>0</v>
      </c>
      <c r="N1144" s="92">
        <v>0</v>
      </c>
      <c r="O1144" s="92">
        <v>0</v>
      </c>
      <c r="P1144" s="92">
        <v>0</v>
      </c>
      <c r="Q1144" s="92">
        <v>0</v>
      </c>
      <c r="U1144" s="60" t="e">
        <v>#N/A</v>
      </c>
      <c r="V1144" s="84" t="s">
        <v>633</v>
      </c>
      <c r="AC1144" s="54"/>
    </row>
    <row r="1145" spans="1:29">
      <c r="C1145" s="85"/>
      <c r="E1145" s="138"/>
      <c r="F1145" s="92"/>
      <c r="G1145" s="92"/>
      <c r="H1145" s="92"/>
      <c r="I1145" s="92"/>
      <c r="J1145" s="92"/>
      <c r="K1145" s="92"/>
      <c r="L1145" s="92"/>
      <c r="M1145" s="92"/>
      <c r="N1145" s="92"/>
      <c r="O1145" s="92"/>
      <c r="P1145" s="92"/>
      <c r="Q1145" s="92"/>
      <c r="Z1145" s="70"/>
      <c r="AB1145" s="70"/>
    </row>
    <row r="1146" spans="1:29">
      <c r="A1146" s="83" t="s">
        <v>634</v>
      </c>
      <c r="B1146" s="58"/>
      <c r="C1146" s="85"/>
      <c r="E1146" s="92"/>
      <c r="F1146" s="92"/>
      <c r="G1146" s="92"/>
      <c r="H1146" s="92"/>
      <c r="I1146" s="92"/>
      <c r="J1146" s="92"/>
      <c r="K1146" s="92"/>
      <c r="L1146" s="92"/>
      <c r="M1146" s="92"/>
      <c r="N1146" s="92"/>
      <c r="O1146" s="92"/>
      <c r="P1146" s="92"/>
      <c r="Q1146" s="92"/>
      <c r="AC1146" s="54"/>
    </row>
    <row r="1147" spans="1:29">
      <c r="B1147" s="84"/>
      <c r="C1147" s="85" t="s">
        <v>263</v>
      </c>
      <c r="E1147" s="92">
        <f t="shared" ref="E1147:E1152" si="318">SUM(F1147:Q1147)</f>
        <v>0</v>
      </c>
      <c r="F1147" s="92">
        <v>0</v>
      </c>
      <c r="G1147" s="92">
        <v>0</v>
      </c>
      <c r="H1147" s="92">
        <v>0</v>
      </c>
      <c r="I1147" s="92">
        <v>0</v>
      </c>
      <c r="J1147" s="92">
        <v>0</v>
      </c>
      <c r="K1147" s="92">
        <v>0</v>
      </c>
      <c r="L1147" s="92">
        <v>0</v>
      </c>
      <c r="M1147" s="92">
        <v>0</v>
      </c>
      <c r="N1147" s="92">
        <v>0</v>
      </c>
      <c r="O1147" s="92">
        <v>0</v>
      </c>
      <c r="P1147" s="92">
        <v>0</v>
      </c>
      <c r="Q1147" s="92">
        <v>0</v>
      </c>
      <c r="U1147" s="60" t="e">
        <v>#N/A</v>
      </c>
      <c r="V1147" s="51" t="str">
        <f t="shared" ref="V1147:V1152" si="319">V1123</f>
        <v>California Pre-merger QF</v>
      </c>
      <c r="W1147" s="60"/>
      <c r="Y1147" s="60"/>
      <c r="AA1147" s="60"/>
    </row>
    <row r="1148" spans="1:29">
      <c r="B1148" s="84"/>
      <c r="C1148" s="85" t="s">
        <v>269</v>
      </c>
      <c r="E1148" s="92">
        <f t="shared" si="318"/>
        <v>0</v>
      </c>
      <c r="F1148" s="92">
        <v>0</v>
      </c>
      <c r="G1148" s="92">
        <v>0</v>
      </c>
      <c r="H1148" s="92">
        <v>0</v>
      </c>
      <c r="I1148" s="92">
        <v>0</v>
      </c>
      <c r="J1148" s="92">
        <v>0</v>
      </c>
      <c r="K1148" s="92">
        <v>0</v>
      </c>
      <c r="L1148" s="92">
        <v>0</v>
      </c>
      <c r="M1148" s="92">
        <v>0</v>
      </c>
      <c r="N1148" s="92">
        <v>0</v>
      </c>
      <c r="O1148" s="92">
        <v>0</v>
      </c>
      <c r="P1148" s="92">
        <v>0</v>
      </c>
      <c r="Q1148" s="92">
        <v>0</v>
      </c>
      <c r="U1148" s="60" t="e">
        <v>#N/A</v>
      </c>
      <c r="V1148" s="51" t="str">
        <f t="shared" si="319"/>
        <v>Idaho Pre-merger QF</v>
      </c>
      <c r="W1148" s="60"/>
      <c r="Y1148" s="60"/>
      <c r="AA1148" s="60"/>
    </row>
    <row r="1149" spans="1:29">
      <c r="B1149" s="84"/>
      <c r="C1149" s="85" t="s">
        <v>275</v>
      </c>
      <c r="E1149" s="92">
        <f t="shared" si="318"/>
        <v>0</v>
      </c>
      <c r="F1149" s="92">
        <v>0</v>
      </c>
      <c r="G1149" s="92">
        <v>0</v>
      </c>
      <c r="H1149" s="92">
        <v>0</v>
      </c>
      <c r="I1149" s="92">
        <v>0</v>
      </c>
      <c r="J1149" s="92">
        <v>0</v>
      </c>
      <c r="K1149" s="92">
        <v>0</v>
      </c>
      <c r="L1149" s="92">
        <v>0</v>
      </c>
      <c r="M1149" s="92">
        <v>0</v>
      </c>
      <c r="N1149" s="92">
        <v>0</v>
      </c>
      <c r="O1149" s="92">
        <v>0</v>
      </c>
      <c r="P1149" s="92">
        <v>0</v>
      </c>
      <c r="Q1149" s="92">
        <v>0</v>
      </c>
      <c r="U1149" s="60" t="e">
        <v>#N/A</v>
      </c>
      <c r="V1149" s="51" t="str">
        <f t="shared" si="319"/>
        <v>Oregon Pre-merger QF</v>
      </c>
      <c r="W1149" s="60"/>
      <c r="Y1149" s="60"/>
      <c r="AA1149" s="60"/>
    </row>
    <row r="1150" spans="1:29">
      <c r="B1150" s="84"/>
      <c r="C1150" s="85" t="s">
        <v>281</v>
      </c>
      <c r="E1150" s="92">
        <f t="shared" si="318"/>
        <v>0</v>
      </c>
      <c r="F1150" s="92">
        <v>0</v>
      </c>
      <c r="G1150" s="92">
        <v>0</v>
      </c>
      <c r="H1150" s="92">
        <v>0</v>
      </c>
      <c r="I1150" s="92">
        <v>0</v>
      </c>
      <c r="J1150" s="92">
        <v>0</v>
      </c>
      <c r="K1150" s="92">
        <v>0</v>
      </c>
      <c r="L1150" s="92">
        <v>0</v>
      </c>
      <c r="M1150" s="92">
        <v>0</v>
      </c>
      <c r="N1150" s="92">
        <v>0</v>
      </c>
      <c r="O1150" s="92">
        <v>0</v>
      </c>
      <c r="P1150" s="92">
        <v>0</v>
      </c>
      <c r="Q1150" s="92">
        <v>0</v>
      </c>
      <c r="U1150" s="60" t="e">
        <v>#N/A</v>
      </c>
      <c r="V1150" s="51" t="str">
        <f t="shared" si="319"/>
        <v>Utah Pre-merger QF</v>
      </c>
      <c r="W1150" s="60"/>
      <c r="Y1150" s="60"/>
      <c r="AA1150" s="60"/>
    </row>
    <row r="1151" spans="1:29">
      <c r="B1151" s="84"/>
      <c r="C1151" s="85" t="s">
        <v>287</v>
      </c>
      <c r="E1151" s="92">
        <f t="shared" si="318"/>
        <v>0</v>
      </c>
      <c r="F1151" s="92">
        <v>0</v>
      </c>
      <c r="G1151" s="92">
        <v>0</v>
      </c>
      <c r="H1151" s="92">
        <v>0</v>
      </c>
      <c r="I1151" s="92">
        <v>0</v>
      </c>
      <c r="J1151" s="92">
        <v>0</v>
      </c>
      <c r="K1151" s="92">
        <v>0</v>
      </c>
      <c r="L1151" s="92">
        <v>0</v>
      </c>
      <c r="M1151" s="92">
        <v>0</v>
      </c>
      <c r="N1151" s="92">
        <v>0</v>
      </c>
      <c r="O1151" s="92">
        <v>0</v>
      </c>
      <c r="P1151" s="92">
        <v>0</v>
      </c>
      <c r="Q1151" s="92">
        <v>0</v>
      </c>
      <c r="U1151" s="60">
        <v>28</v>
      </c>
      <c r="V1151" s="51" t="str">
        <f t="shared" si="319"/>
        <v>Washington Pre-merger QF</v>
      </c>
      <c r="W1151" s="60"/>
      <c r="Y1151" s="60"/>
      <c r="AA1151" s="60"/>
    </row>
    <row r="1152" spans="1:29">
      <c r="B1152" s="84"/>
      <c r="C1152" s="85" t="s">
        <v>293</v>
      </c>
      <c r="E1152" s="92">
        <f t="shared" si="318"/>
        <v>0</v>
      </c>
      <c r="F1152" s="92">
        <v>0</v>
      </c>
      <c r="G1152" s="92">
        <v>0</v>
      </c>
      <c r="H1152" s="92">
        <v>0</v>
      </c>
      <c r="I1152" s="92">
        <v>0</v>
      </c>
      <c r="J1152" s="92">
        <v>0</v>
      </c>
      <c r="K1152" s="92">
        <v>0</v>
      </c>
      <c r="L1152" s="92">
        <v>0</v>
      </c>
      <c r="M1152" s="92">
        <v>0</v>
      </c>
      <c r="N1152" s="92">
        <v>0</v>
      </c>
      <c r="O1152" s="92">
        <v>0</v>
      </c>
      <c r="P1152" s="92">
        <v>0</v>
      </c>
      <c r="Q1152" s="92">
        <v>0</v>
      </c>
      <c r="U1152" s="60" t="e">
        <v>#N/A</v>
      </c>
      <c r="V1152" s="51" t="str">
        <f t="shared" si="319"/>
        <v>Wyoming Pre-merger QF</v>
      </c>
      <c r="W1152" s="60"/>
      <c r="Y1152" s="60"/>
      <c r="AA1152" s="60"/>
    </row>
    <row r="1154" spans="1:29">
      <c r="A1154" s="83" t="s">
        <v>635</v>
      </c>
      <c r="B1154" s="58"/>
      <c r="C1154" s="85"/>
      <c r="E1154" s="92"/>
      <c r="F1154" s="92"/>
      <c r="G1154" s="92"/>
      <c r="H1154" s="92"/>
      <c r="I1154" s="92"/>
      <c r="J1154" s="92"/>
      <c r="K1154" s="92"/>
      <c r="L1154" s="92"/>
      <c r="M1154" s="92"/>
      <c r="N1154" s="92"/>
      <c r="O1154" s="92"/>
      <c r="P1154" s="92"/>
      <c r="Q1154" s="92"/>
      <c r="AC1154" s="54"/>
    </row>
    <row r="1155" spans="1:29">
      <c r="A1155" s="83"/>
      <c r="B1155" s="84"/>
      <c r="C1155" s="85" t="s">
        <v>263</v>
      </c>
      <c r="E1155" s="92">
        <f t="shared" ref="E1155:E1160" si="320">SUM(F1155:Q1155)</f>
        <v>0</v>
      </c>
      <c r="F1155" s="92">
        <v>0</v>
      </c>
      <c r="G1155" s="92">
        <v>0</v>
      </c>
      <c r="H1155" s="92">
        <v>0</v>
      </c>
      <c r="I1155" s="92">
        <v>0</v>
      </c>
      <c r="J1155" s="92">
        <v>0</v>
      </c>
      <c r="K1155" s="92">
        <v>0</v>
      </c>
      <c r="L1155" s="92">
        <v>0</v>
      </c>
      <c r="M1155" s="92">
        <v>0</v>
      </c>
      <c r="N1155" s="92">
        <v>0</v>
      </c>
      <c r="O1155" s="92">
        <v>0</v>
      </c>
      <c r="P1155" s="92">
        <v>0</v>
      </c>
      <c r="Q1155" s="92">
        <v>0</v>
      </c>
      <c r="U1155" s="60" t="e">
        <v>#N/A</v>
      </c>
      <c r="V1155" s="84" t="s">
        <v>621</v>
      </c>
      <c r="W1155" s="60"/>
      <c r="Y1155" s="60"/>
      <c r="AA1155" s="60"/>
    </row>
    <row r="1156" spans="1:29">
      <c r="A1156" s="83"/>
      <c r="B1156" s="84"/>
      <c r="C1156" s="85" t="s">
        <v>269</v>
      </c>
      <c r="E1156" s="92">
        <f t="shared" si="320"/>
        <v>0</v>
      </c>
      <c r="F1156" s="92">
        <v>0</v>
      </c>
      <c r="G1156" s="92">
        <v>0</v>
      </c>
      <c r="H1156" s="92">
        <v>0</v>
      </c>
      <c r="I1156" s="92">
        <v>0</v>
      </c>
      <c r="J1156" s="92">
        <v>0</v>
      </c>
      <c r="K1156" s="92">
        <v>0</v>
      </c>
      <c r="L1156" s="92">
        <v>0</v>
      </c>
      <c r="M1156" s="92">
        <v>0</v>
      </c>
      <c r="N1156" s="92">
        <v>0</v>
      </c>
      <c r="O1156" s="92">
        <v>0</v>
      </c>
      <c r="P1156" s="92">
        <v>0</v>
      </c>
      <c r="Q1156" s="92">
        <v>0</v>
      </c>
      <c r="U1156" s="60" t="e">
        <v>#N/A</v>
      </c>
      <c r="V1156" s="84" t="s">
        <v>622</v>
      </c>
      <c r="W1156" s="60"/>
      <c r="Y1156" s="60"/>
      <c r="AA1156" s="60"/>
    </row>
    <row r="1157" spans="1:29">
      <c r="A1157" s="83"/>
      <c r="B1157" s="84"/>
      <c r="C1157" s="85" t="s">
        <v>275</v>
      </c>
      <c r="E1157" s="92">
        <f t="shared" si="320"/>
        <v>0</v>
      </c>
      <c r="F1157" s="92">
        <v>0</v>
      </c>
      <c r="G1157" s="92">
        <v>0</v>
      </c>
      <c r="H1157" s="92">
        <v>0</v>
      </c>
      <c r="I1157" s="92">
        <v>0</v>
      </c>
      <c r="J1157" s="92">
        <v>0</v>
      </c>
      <c r="K1157" s="92">
        <v>0</v>
      </c>
      <c r="L1157" s="92">
        <v>0</v>
      </c>
      <c r="M1157" s="92">
        <v>0</v>
      </c>
      <c r="N1157" s="92">
        <v>0</v>
      </c>
      <c r="O1157" s="92">
        <v>0</v>
      </c>
      <c r="P1157" s="92">
        <v>0</v>
      </c>
      <c r="Q1157" s="92">
        <v>0</v>
      </c>
      <c r="U1157" s="60" t="e">
        <v>#N/A</v>
      </c>
      <c r="V1157" s="84" t="s">
        <v>623</v>
      </c>
      <c r="W1157" s="60"/>
      <c r="Y1157" s="60"/>
      <c r="AA1157" s="60"/>
    </row>
    <row r="1158" spans="1:29">
      <c r="A1158" s="83"/>
      <c r="B1158" s="84"/>
      <c r="C1158" s="85" t="s">
        <v>281</v>
      </c>
      <c r="E1158" s="92">
        <f t="shared" si="320"/>
        <v>0</v>
      </c>
      <c r="F1158" s="92">
        <v>0</v>
      </c>
      <c r="G1158" s="92">
        <v>0</v>
      </c>
      <c r="H1158" s="92">
        <v>0</v>
      </c>
      <c r="I1158" s="92">
        <v>0</v>
      </c>
      <c r="J1158" s="92">
        <v>0</v>
      </c>
      <c r="K1158" s="92">
        <v>0</v>
      </c>
      <c r="L1158" s="92">
        <v>0</v>
      </c>
      <c r="M1158" s="92">
        <v>0</v>
      </c>
      <c r="N1158" s="92">
        <v>0</v>
      </c>
      <c r="O1158" s="92">
        <v>0</v>
      </c>
      <c r="P1158" s="92">
        <v>0</v>
      </c>
      <c r="Q1158" s="92">
        <v>0</v>
      </c>
      <c r="U1158" s="60" t="e">
        <v>#N/A</v>
      </c>
      <c r="V1158" s="84" t="s">
        <v>624</v>
      </c>
      <c r="W1158" s="60"/>
      <c r="Y1158" s="60"/>
      <c r="AA1158" s="60"/>
    </row>
    <row r="1159" spans="1:29">
      <c r="A1159" s="83"/>
      <c r="B1159" s="84"/>
      <c r="C1159" s="85" t="s">
        <v>287</v>
      </c>
      <c r="E1159" s="92">
        <f t="shared" si="320"/>
        <v>0</v>
      </c>
      <c r="F1159" s="92">
        <v>0</v>
      </c>
      <c r="G1159" s="92">
        <v>0</v>
      </c>
      <c r="H1159" s="92">
        <v>0</v>
      </c>
      <c r="I1159" s="92">
        <v>0</v>
      </c>
      <c r="J1159" s="92">
        <v>0</v>
      </c>
      <c r="K1159" s="92">
        <v>0</v>
      </c>
      <c r="L1159" s="92">
        <v>0</v>
      </c>
      <c r="M1159" s="92">
        <v>0</v>
      </c>
      <c r="N1159" s="92">
        <v>0</v>
      </c>
      <c r="O1159" s="92">
        <v>0</v>
      </c>
      <c r="P1159" s="92">
        <v>0</v>
      </c>
      <c r="Q1159" s="92">
        <v>0</v>
      </c>
      <c r="U1159" s="60">
        <v>26</v>
      </c>
      <c r="V1159" s="84" t="s">
        <v>625</v>
      </c>
      <c r="W1159" s="60"/>
      <c r="Y1159" s="60"/>
      <c r="AA1159" s="60"/>
    </row>
    <row r="1160" spans="1:29">
      <c r="A1160" s="83"/>
      <c r="B1160" s="84"/>
      <c r="C1160" s="85" t="s">
        <v>293</v>
      </c>
      <c r="E1160" s="92">
        <f t="shared" si="320"/>
        <v>0</v>
      </c>
      <c r="F1160" s="92">
        <v>0</v>
      </c>
      <c r="G1160" s="92">
        <v>0</v>
      </c>
      <c r="H1160" s="92">
        <v>0</v>
      </c>
      <c r="I1160" s="92">
        <v>0</v>
      </c>
      <c r="J1160" s="92">
        <v>0</v>
      </c>
      <c r="K1160" s="92">
        <v>0</v>
      </c>
      <c r="L1160" s="92">
        <v>0</v>
      </c>
      <c r="M1160" s="92">
        <v>0</v>
      </c>
      <c r="N1160" s="92">
        <v>0</v>
      </c>
      <c r="O1160" s="92">
        <v>0</v>
      </c>
      <c r="P1160" s="92">
        <v>0</v>
      </c>
      <c r="Q1160" s="92">
        <v>0</v>
      </c>
      <c r="U1160" s="60" t="e">
        <v>#N/A</v>
      </c>
      <c r="V1160" s="84" t="s">
        <v>626</v>
      </c>
      <c r="W1160" s="60"/>
      <c r="Y1160" s="60"/>
      <c r="AA1160" s="60"/>
    </row>
    <row r="1162" spans="1:29">
      <c r="A1162" s="83" t="s">
        <v>636</v>
      </c>
      <c r="B1162" s="58"/>
      <c r="C1162" s="85"/>
      <c r="E1162" s="92"/>
      <c r="F1162" s="92"/>
      <c r="G1162" s="92"/>
      <c r="H1162" s="92"/>
      <c r="I1162" s="92"/>
      <c r="J1162" s="92"/>
      <c r="K1162" s="92"/>
      <c r="L1162" s="92"/>
      <c r="M1162" s="92"/>
      <c r="N1162" s="92"/>
      <c r="O1162" s="92"/>
      <c r="P1162" s="92"/>
      <c r="Q1162" s="92"/>
      <c r="AC1162" s="54"/>
    </row>
    <row r="1163" spans="1:29">
      <c r="B1163" s="84"/>
      <c r="C1163" s="85" t="s">
        <v>263</v>
      </c>
      <c r="E1163" s="92">
        <f t="shared" ref="E1163:E1168" si="321">SUM(F1163:Q1163)</f>
        <v>0</v>
      </c>
      <c r="F1163" s="92">
        <v>0</v>
      </c>
      <c r="G1163" s="92">
        <v>0</v>
      </c>
      <c r="H1163" s="92">
        <v>0</v>
      </c>
      <c r="I1163" s="92">
        <v>0</v>
      </c>
      <c r="J1163" s="92">
        <v>0</v>
      </c>
      <c r="K1163" s="92">
        <v>0</v>
      </c>
      <c r="L1163" s="92">
        <v>0</v>
      </c>
      <c r="M1163" s="92">
        <v>0</v>
      </c>
      <c r="N1163" s="92">
        <v>0</v>
      </c>
      <c r="O1163" s="92">
        <v>0</v>
      </c>
      <c r="P1163" s="92">
        <v>0</v>
      </c>
      <c r="Q1163" s="92">
        <v>0</v>
      </c>
      <c r="U1163" s="60" t="e">
        <v>#N/A</v>
      </c>
      <c r="V1163" s="84" t="s">
        <v>628</v>
      </c>
      <c r="W1163" s="60"/>
      <c r="Y1163" s="60"/>
      <c r="AA1163" s="60"/>
    </row>
    <row r="1164" spans="1:29">
      <c r="B1164" s="84"/>
      <c r="C1164" s="85" t="s">
        <v>269</v>
      </c>
      <c r="E1164" s="92">
        <f t="shared" si="321"/>
        <v>0</v>
      </c>
      <c r="F1164" s="92">
        <v>0</v>
      </c>
      <c r="G1164" s="92">
        <v>0</v>
      </c>
      <c r="H1164" s="92">
        <v>0</v>
      </c>
      <c r="I1164" s="92">
        <v>0</v>
      </c>
      <c r="J1164" s="92">
        <v>0</v>
      </c>
      <c r="K1164" s="92">
        <v>0</v>
      </c>
      <c r="L1164" s="92">
        <v>0</v>
      </c>
      <c r="M1164" s="92">
        <v>0</v>
      </c>
      <c r="N1164" s="92">
        <v>0</v>
      </c>
      <c r="O1164" s="92">
        <v>0</v>
      </c>
      <c r="P1164" s="92">
        <v>0</v>
      </c>
      <c r="Q1164" s="92">
        <v>0</v>
      </c>
      <c r="U1164" s="60" t="e">
        <v>#N/A</v>
      </c>
      <c r="V1164" s="84" t="s">
        <v>629</v>
      </c>
      <c r="W1164" s="60"/>
      <c r="Y1164" s="60"/>
      <c r="AA1164" s="60"/>
    </row>
    <row r="1165" spans="1:29">
      <c r="B1165" s="84"/>
      <c r="C1165" s="85" t="s">
        <v>275</v>
      </c>
      <c r="E1165" s="92">
        <f t="shared" si="321"/>
        <v>0</v>
      </c>
      <c r="F1165" s="92">
        <v>0</v>
      </c>
      <c r="G1165" s="92">
        <v>0</v>
      </c>
      <c r="H1165" s="92">
        <v>0</v>
      </c>
      <c r="I1165" s="92">
        <v>0</v>
      </c>
      <c r="J1165" s="92">
        <v>0</v>
      </c>
      <c r="K1165" s="92">
        <v>0</v>
      </c>
      <c r="L1165" s="92">
        <v>0</v>
      </c>
      <c r="M1165" s="92">
        <v>0</v>
      </c>
      <c r="N1165" s="92">
        <v>0</v>
      </c>
      <c r="O1165" s="92">
        <v>0</v>
      </c>
      <c r="P1165" s="92">
        <v>0</v>
      </c>
      <c r="Q1165" s="92">
        <v>0</v>
      </c>
      <c r="U1165" s="60" t="e">
        <v>#N/A</v>
      </c>
      <c r="V1165" s="84" t="s">
        <v>630</v>
      </c>
      <c r="W1165" s="60"/>
      <c r="Y1165" s="60"/>
      <c r="AA1165" s="60"/>
    </row>
    <row r="1166" spans="1:29">
      <c r="B1166" s="84"/>
      <c r="C1166" s="85" t="s">
        <v>281</v>
      </c>
      <c r="E1166" s="92">
        <f t="shared" si="321"/>
        <v>0</v>
      </c>
      <c r="F1166" s="92">
        <v>0</v>
      </c>
      <c r="G1166" s="92">
        <v>0</v>
      </c>
      <c r="H1166" s="92">
        <v>0</v>
      </c>
      <c r="I1166" s="92">
        <v>0</v>
      </c>
      <c r="J1166" s="92">
        <v>0</v>
      </c>
      <c r="K1166" s="92">
        <v>0</v>
      </c>
      <c r="L1166" s="92">
        <v>0</v>
      </c>
      <c r="M1166" s="92">
        <v>0</v>
      </c>
      <c r="N1166" s="92">
        <v>0</v>
      </c>
      <c r="O1166" s="92">
        <v>0</v>
      </c>
      <c r="P1166" s="92">
        <v>0</v>
      </c>
      <c r="Q1166" s="92">
        <v>0</v>
      </c>
      <c r="U1166" s="60" t="e">
        <v>#N/A</v>
      </c>
      <c r="V1166" s="84" t="s">
        <v>631</v>
      </c>
      <c r="W1166" s="60"/>
      <c r="Y1166" s="60"/>
      <c r="AA1166" s="60"/>
    </row>
    <row r="1167" spans="1:29">
      <c r="B1167" s="84"/>
      <c r="C1167" s="85" t="s">
        <v>287</v>
      </c>
      <c r="E1167" s="92">
        <f t="shared" si="321"/>
        <v>15888.179227199998</v>
      </c>
      <c r="F1167" s="92">
        <v>880.56</v>
      </c>
      <c r="G1167" s="92">
        <v>1301.2560000000001</v>
      </c>
      <c r="H1167" s="92">
        <v>1868.4</v>
      </c>
      <c r="I1167" s="92">
        <v>2303.4241487999998</v>
      </c>
      <c r="J1167" s="92">
        <v>2423.9520000000002</v>
      </c>
      <c r="K1167" s="92">
        <v>2084.4</v>
      </c>
      <c r="L1167" s="92">
        <v>1201.5600744000001</v>
      </c>
      <c r="M1167" s="92">
        <v>766.42300799999998</v>
      </c>
      <c r="N1167" s="92">
        <v>764.83199999999999</v>
      </c>
      <c r="O1167" s="92">
        <v>764.83199999999999</v>
      </c>
      <c r="P1167" s="92">
        <v>764.73605520000001</v>
      </c>
      <c r="Q1167" s="92">
        <v>763.80394079999996</v>
      </c>
      <c r="U1167" s="60">
        <v>27</v>
      </c>
      <c r="V1167" s="84" t="s">
        <v>632</v>
      </c>
      <c r="W1167" s="60"/>
      <c r="Y1167" s="60"/>
      <c r="AA1167" s="60"/>
    </row>
    <row r="1168" spans="1:29">
      <c r="B1168" s="84"/>
      <c r="C1168" s="85" t="s">
        <v>293</v>
      </c>
      <c r="E1168" s="92">
        <f t="shared" si="321"/>
        <v>0</v>
      </c>
      <c r="F1168" s="92">
        <v>0</v>
      </c>
      <c r="G1168" s="92">
        <v>0</v>
      </c>
      <c r="H1168" s="92">
        <v>0</v>
      </c>
      <c r="I1168" s="92">
        <v>0</v>
      </c>
      <c r="J1168" s="92">
        <v>0</v>
      </c>
      <c r="K1168" s="92">
        <v>0</v>
      </c>
      <c r="L1168" s="92">
        <v>0</v>
      </c>
      <c r="M1168" s="92">
        <v>0</v>
      </c>
      <c r="N1168" s="92">
        <v>0</v>
      </c>
      <c r="O1168" s="92">
        <v>0</v>
      </c>
      <c r="P1168" s="92">
        <v>0</v>
      </c>
      <c r="Q1168" s="92">
        <v>0</v>
      </c>
      <c r="U1168" s="60" t="e">
        <v>#N/A</v>
      </c>
      <c r="V1168" s="84" t="s">
        <v>633</v>
      </c>
      <c r="W1168" s="60"/>
      <c r="Y1168" s="60"/>
      <c r="AA1168" s="60"/>
    </row>
    <row r="1169" spans="1:33">
      <c r="B1169" s="84"/>
      <c r="C1169" s="85"/>
      <c r="E1169" s="92"/>
      <c r="F1169" s="92"/>
      <c r="G1169" s="92"/>
      <c r="H1169" s="92"/>
      <c r="I1169" s="92"/>
      <c r="J1169" s="92"/>
      <c r="K1169" s="92"/>
      <c r="L1169" s="92"/>
      <c r="M1169" s="92"/>
      <c r="N1169" s="92"/>
      <c r="O1169" s="92"/>
      <c r="P1169" s="92"/>
      <c r="Q1169" s="92"/>
      <c r="U1169" s="60"/>
      <c r="V1169" s="84"/>
      <c r="W1169" s="60"/>
      <c r="Y1169" s="60"/>
      <c r="AA1169" s="60"/>
    </row>
    <row r="1170" spans="1:33">
      <c r="B1170" s="84"/>
      <c r="C1170" s="85"/>
      <c r="E1170" s="92"/>
      <c r="F1170" s="92"/>
      <c r="G1170" s="92"/>
      <c r="H1170" s="92"/>
      <c r="I1170" s="92"/>
      <c r="J1170" s="92"/>
      <c r="K1170" s="92"/>
      <c r="L1170" s="92"/>
      <c r="M1170" s="92"/>
      <c r="N1170" s="92"/>
      <c r="O1170" s="92"/>
      <c r="P1170" s="92"/>
      <c r="Q1170" s="92"/>
      <c r="U1170" s="60"/>
      <c r="V1170" s="84"/>
      <c r="W1170" s="60"/>
      <c r="Y1170" s="60"/>
      <c r="AA1170" s="60"/>
    </row>
    <row r="1171" spans="1:33" s="207" customFormat="1">
      <c r="A1171" s="204"/>
      <c r="B1171" s="205"/>
      <c r="C1171" s="206"/>
      <c r="E1171" s="208"/>
      <c r="F1171" s="208"/>
      <c r="G1171" s="208"/>
      <c r="H1171" s="208"/>
      <c r="I1171" s="208"/>
      <c r="J1171" s="209" t="s">
        <v>637</v>
      </c>
      <c r="L1171" s="208"/>
      <c r="M1171" s="208"/>
      <c r="O1171" s="208"/>
      <c r="P1171" s="208"/>
      <c r="Q1171" s="208"/>
      <c r="R1171" s="210"/>
      <c r="T1171" s="211"/>
      <c r="V1171" s="205"/>
    </row>
    <row r="1174" spans="1:33">
      <c r="B1174" s="51" t="s">
        <v>365</v>
      </c>
      <c r="E1174" s="93"/>
      <c r="F1174" s="93"/>
      <c r="G1174" s="93"/>
      <c r="H1174" s="93"/>
      <c r="I1174" s="93"/>
      <c r="J1174" s="93"/>
      <c r="K1174" s="93"/>
      <c r="L1174" s="93"/>
      <c r="M1174" s="93"/>
      <c r="N1174" s="93"/>
      <c r="O1174" s="93"/>
      <c r="P1174" s="93"/>
      <c r="Q1174" s="93"/>
    </row>
    <row r="1175" spans="1:33">
      <c r="C1175" s="58" t="s">
        <v>367</v>
      </c>
      <c r="E1175" s="59">
        <f t="shared" ref="E1175:E1194" si="322">SUM(F1175:Q1175)</f>
        <v>0</v>
      </c>
      <c r="F1175" s="59">
        <v>0</v>
      </c>
      <c r="G1175" s="59">
        <v>0</v>
      </c>
      <c r="H1175" s="59">
        <v>0</v>
      </c>
      <c r="I1175" s="59">
        <v>0</v>
      </c>
      <c r="J1175" s="59">
        <v>0</v>
      </c>
      <c r="K1175" s="59">
        <v>0</v>
      </c>
      <c r="L1175" s="59">
        <v>0</v>
      </c>
      <c r="M1175" s="59">
        <v>0</v>
      </c>
      <c r="N1175" s="59">
        <v>0</v>
      </c>
      <c r="O1175" s="59">
        <v>0</v>
      </c>
      <c r="P1175" s="59">
        <v>0</v>
      </c>
      <c r="Q1175" s="59">
        <v>0</v>
      </c>
      <c r="U1175" s="60" t="e">
        <v>#N/A</v>
      </c>
      <c r="V1175" s="51" t="s">
        <v>367</v>
      </c>
      <c r="W1175" s="64"/>
      <c r="X1175" s="64"/>
      <c r="Y1175" s="64"/>
      <c r="Z1175" s="64"/>
      <c r="AA1175" s="64"/>
      <c r="AB1175" s="64"/>
      <c r="AC1175" s="64"/>
      <c r="AD1175" s="64"/>
      <c r="AG1175" s="62" t="str">
        <f t="shared" ref="AG1175:AG1214" si="323">IF(OR(ISNUMBER(U1175),ISNUMBER(W1175),ISNUMBER(Y1175),ISNUMBER(AA1175),ISNUMBER(AC1175)),"","Hide Row")</f>
        <v>Hide Row</v>
      </c>
    </row>
    <row r="1176" spans="1:33">
      <c r="C1176" s="58" t="s">
        <v>368</v>
      </c>
      <c r="E1176" s="59">
        <f t="shared" ref="E1176" si="324">SUM(F1176:Q1176)</f>
        <v>0</v>
      </c>
      <c r="F1176" s="59">
        <v>0</v>
      </c>
      <c r="G1176" s="59">
        <v>0</v>
      </c>
      <c r="H1176" s="59">
        <v>0</v>
      </c>
      <c r="I1176" s="59">
        <v>0</v>
      </c>
      <c r="J1176" s="59">
        <v>0</v>
      </c>
      <c r="K1176" s="59">
        <v>0</v>
      </c>
      <c r="L1176" s="59">
        <v>0</v>
      </c>
      <c r="M1176" s="59">
        <v>0</v>
      </c>
      <c r="N1176" s="59">
        <v>0</v>
      </c>
      <c r="O1176" s="59">
        <v>0</v>
      </c>
      <c r="P1176" s="59">
        <v>0</v>
      </c>
      <c r="Q1176" s="59">
        <v>0</v>
      </c>
      <c r="U1176" s="60" t="e">
        <v>#N/A</v>
      </c>
      <c r="V1176" s="51" t="s">
        <v>368</v>
      </c>
      <c r="W1176" s="64"/>
      <c r="X1176" s="64"/>
      <c r="Y1176" s="64"/>
      <c r="Z1176" s="64"/>
      <c r="AA1176" s="64"/>
      <c r="AB1176" s="64"/>
      <c r="AC1176" s="64"/>
      <c r="AD1176" s="64"/>
      <c r="AG1176" s="62" t="str">
        <f t="shared" si="323"/>
        <v>Hide Row</v>
      </c>
    </row>
    <row r="1177" spans="1:33">
      <c r="C1177" s="52" t="s">
        <v>370</v>
      </c>
      <c r="E1177" s="59">
        <f t="shared" si="322"/>
        <v>0</v>
      </c>
      <c r="F1177" s="59">
        <v>0</v>
      </c>
      <c r="G1177" s="59">
        <v>0</v>
      </c>
      <c r="H1177" s="59">
        <v>0</v>
      </c>
      <c r="I1177" s="59">
        <v>0</v>
      </c>
      <c r="J1177" s="59">
        <v>0</v>
      </c>
      <c r="K1177" s="59">
        <v>0</v>
      </c>
      <c r="L1177" s="59">
        <v>0</v>
      </c>
      <c r="M1177" s="59">
        <v>0</v>
      </c>
      <c r="N1177" s="59">
        <v>0</v>
      </c>
      <c r="O1177" s="59">
        <v>0</v>
      </c>
      <c r="P1177" s="59">
        <v>0</v>
      </c>
      <c r="Q1177" s="59">
        <v>0</v>
      </c>
      <c r="U1177" s="60" t="e">
        <v>#N/A</v>
      </c>
      <c r="V1177" s="51" t="s">
        <v>370</v>
      </c>
      <c r="W1177" s="64"/>
      <c r="X1177" s="64"/>
      <c r="Y1177" s="64"/>
      <c r="Z1177" s="64"/>
      <c r="AA1177" s="64"/>
      <c r="AB1177" s="64"/>
      <c r="AC1177" s="64"/>
      <c r="AD1177" s="64"/>
      <c r="AG1177" s="62" t="str">
        <f t="shared" si="323"/>
        <v>Hide Row</v>
      </c>
    </row>
    <row r="1178" spans="1:33">
      <c r="C1178" s="52" t="s">
        <v>371</v>
      </c>
      <c r="E1178" s="59">
        <f t="shared" si="322"/>
        <v>0</v>
      </c>
      <c r="F1178" s="59">
        <v>0</v>
      </c>
      <c r="G1178" s="59">
        <v>0</v>
      </c>
      <c r="H1178" s="59">
        <v>0</v>
      </c>
      <c r="I1178" s="59">
        <v>0</v>
      </c>
      <c r="J1178" s="59">
        <v>0</v>
      </c>
      <c r="K1178" s="59">
        <v>0</v>
      </c>
      <c r="L1178" s="59">
        <v>0</v>
      </c>
      <c r="M1178" s="59">
        <v>0</v>
      </c>
      <c r="N1178" s="59">
        <v>0</v>
      </c>
      <c r="O1178" s="59">
        <v>0</v>
      </c>
      <c r="P1178" s="59">
        <v>0</v>
      </c>
      <c r="Q1178" s="59">
        <v>0</v>
      </c>
      <c r="U1178" s="60" t="e">
        <v>#N/A</v>
      </c>
      <c r="V1178" s="51" t="s">
        <v>371</v>
      </c>
      <c r="W1178" s="64"/>
      <c r="X1178" s="64"/>
      <c r="Y1178" s="64"/>
      <c r="Z1178" s="64"/>
      <c r="AA1178" s="64"/>
      <c r="AB1178" s="64"/>
      <c r="AC1178" s="64"/>
      <c r="AD1178" s="64"/>
      <c r="AG1178" s="62" t="str">
        <f t="shared" si="323"/>
        <v>Hide Row</v>
      </c>
    </row>
    <row r="1179" spans="1:33">
      <c r="C1179" s="58" t="s">
        <v>373</v>
      </c>
      <c r="E1179" s="59">
        <f t="shared" si="322"/>
        <v>0</v>
      </c>
      <c r="F1179" s="59">
        <v>0</v>
      </c>
      <c r="G1179" s="59">
        <v>0</v>
      </c>
      <c r="H1179" s="59">
        <v>0</v>
      </c>
      <c r="I1179" s="59">
        <v>0</v>
      </c>
      <c r="J1179" s="59">
        <v>0</v>
      </c>
      <c r="K1179" s="59">
        <v>0</v>
      </c>
      <c r="L1179" s="59">
        <v>0</v>
      </c>
      <c r="M1179" s="59">
        <v>0</v>
      </c>
      <c r="N1179" s="59">
        <v>0</v>
      </c>
      <c r="O1179" s="59">
        <v>0</v>
      </c>
      <c r="P1179" s="59">
        <v>0</v>
      </c>
      <c r="Q1179" s="59">
        <v>0</v>
      </c>
      <c r="U1179" s="60" t="e">
        <v>#N/A</v>
      </c>
      <c r="V1179" s="51" t="s">
        <v>373</v>
      </c>
      <c r="W1179" s="64"/>
      <c r="X1179" s="64"/>
      <c r="Y1179" s="64"/>
      <c r="Z1179" s="64"/>
      <c r="AA1179" s="64"/>
      <c r="AB1179" s="64"/>
      <c r="AC1179" s="64"/>
      <c r="AD1179" s="64"/>
      <c r="AG1179" s="62" t="str">
        <f t="shared" si="323"/>
        <v>Hide Row</v>
      </c>
    </row>
    <row r="1180" spans="1:33">
      <c r="C1180" s="58" t="s">
        <v>374</v>
      </c>
      <c r="E1180" s="59">
        <f t="shared" si="322"/>
        <v>0</v>
      </c>
      <c r="F1180" s="59">
        <v>0</v>
      </c>
      <c r="G1180" s="59">
        <v>0</v>
      </c>
      <c r="H1180" s="59">
        <v>0</v>
      </c>
      <c r="I1180" s="59">
        <v>0</v>
      </c>
      <c r="J1180" s="59">
        <v>0</v>
      </c>
      <c r="K1180" s="59">
        <v>0</v>
      </c>
      <c r="L1180" s="59">
        <v>0</v>
      </c>
      <c r="M1180" s="59">
        <v>0</v>
      </c>
      <c r="N1180" s="59">
        <v>0</v>
      </c>
      <c r="O1180" s="59">
        <v>0</v>
      </c>
      <c r="P1180" s="59">
        <v>0</v>
      </c>
      <c r="Q1180" s="59">
        <v>0</v>
      </c>
      <c r="U1180" s="60" t="e">
        <v>#N/A</v>
      </c>
      <c r="V1180" s="51" t="s">
        <v>374</v>
      </c>
      <c r="W1180" s="64"/>
      <c r="X1180" s="64"/>
      <c r="Y1180" s="64"/>
      <c r="Z1180" s="64"/>
      <c r="AA1180" s="64"/>
      <c r="AB1180" s="64"/>
      <c r="AC1180" s="64"/>
      <c r="AD1180" s="64"/>
      <c r="AG1180" s="62" t="str">
        <f t="shared" si="323"/>
        <v>Hide Row</v>
      </c>
    </row>
    <row r="1181" spans="1:33">
      <c r="C1181" s="58" t="s">
        <v>376</v>
      </c>
      <c r="E1181" s="59">
        <f t="shared" si="322"/>
        <v>0</v>
      </c>
      <c r="F1181" s="59">
        <v>0</v>
      </c>
      <c r="G1181" s="59">
        <v>0</v>
      </c>
      <c r="H1181" s="59">
        <v>0</v>
      </c>
      <c r="I1181" s="59">
        <v>0</v>
      </c>
      <c r="J1181" s="59">
        <v>0</v>
      </c>
      <c r="K1181" s="59">
        <v>0</v>
      </c>
      <c r="L1181" s="59">
        <v>0</v>
      </c>
      <c r="M1181" s="59">
        <v>0</v>
      </c>
      <c r="N1181" s="59">
        <v>0</v>
      </c>
      <c r="O1181" s="59">
        <v>0</v>
      </c>
      <c r="P1181" s="59">
        <v>0</v>
      </c>
      <c r="Q1181" s="59">
        <v>0</v>
      </c>
      <c r="U1181" s="60" t="e">
        <v>#N/A</v>
      </c>
      <c r="V1181" s="51" t="s">
        <v>376</v>
      </c>
      <c r="W1181" s="64"/>
      <c r="X1181" s="64"/>
      <c r="Y1181" s="64"/>
      <c r="Z1181" s="64"/>
      <c r="AA1181" s="64"/>
      <c r="AB1181" s="64"/>
      <c r="AC1181" s="64"/>
      <c r="AD1181" s="64"/>
      <c r="AG1181" s="62" t="str">
        <f t="shared" si="323"/>
        <v>Hide Row</v>
      </c>
    </row>
    <row r="1182" spans="1:33">
      <c r="C1182" s="58" t="s">
        <v>377</v>
      </c>
      <c r="E1182" s="59">
        <f t="shared" si="322"/>
        <v>0</v>
      </c>
      <c r="F1182" s="59">
        <v>0</v>
      </c>
      <c r="G1182" s="59">
        <v>0</v>
      </c>
      <c r="H1182" s="59">
        <v>0</v>
      </c>
      <c r="I1182" s="59">
        <v>0</v>
      </c>
      <c r="J1182" s="59">
        <v>0</v>
      </c>
      <c r="K1182" s="59">
        <v>0</v>
      </c>
      <c r="L1182" s="59">
        <v>0</v>
      </c>
      <c r="M1182" s="59">
        <v>0</v>
      </c>
      <c r="N1182" s="59">
        <v>0</v>
      </c>
      <c r="O1182" s="59">
        <v>0</v>
      </c>
      <c r="P1182" s="59">
        <v>0</v>
      </c>
      <c r="Q1182" s="59">
        <v>0</v>
      </c>
      <c r="U1182" s="60" t="e">
        <v>#N/A</v>
      </c>
      <c r="V1182" s="51" t="s">
        <v>377</v>
      </c>
      <c r="W1182" s="64"/>
      <c r="X1182" s="64"/>
      <c r="Y1182" s="64"/>
      <c r="Z1182" s="64"/>
      <c r="AA1182" s="64"/>
      <c r="AB1182" s="64"/>
      <c r="AC1182" s="64"/>
      <c r="AD1182" s="64"/>
      <c r="AG1182" s="62" t="str">
        <f t="shared" si="323"/>
        <v>Hide Row</v>
      </c>
    </row>
    <row r="1183" spans="1:33">
      <c r="C1183" s="58" t="s">
        <v>378</v>
      </c>
      <c r="E1183" s="59">
        <f t="shared" ref="E1183:E1184" si="325">SUM(F1183:Q1183)</f>
        <v>0</v>
      </c>
      <c r="F1183" s="59">
        <v>0</v>
      </c>
      <c r="G1183" s="59">
        <v>0</v>
      </c>
      <c r="H1183" s="59">
        <v>0</v>
      </c>
      <c r="I1183" s="59">
        <v>0</v>
      </c>
      <c r="J1183" s="59">
        <v>0</v>
      </c>
      <c r="K1183" s="59">
        <v>0</v>
      </c>
      <c r="L1183" s="59">
        <v>0</v>
      </c>
      <c r="M1183" s="59">
        <v>0</v>
      </c>
      <c r="N1183" s="59">
        <v>0</v>
      </c>
      <c r="O1183" s="59">
        <v>0</v>
      </c>
      <c r="P1183" s="59">
        <v>0</v>
      </c>
      <c r="Q1183" s="59">
        <v>0</v>
      </c>
      <c r="U1183" s="60" t="e">
        <v>#N/A</v>
      </c>
      <c r="V1183" s="51" t="s">
        <v>378</v>
      </c>
      <c r="W1183" s="64"/>
      <c r="X1183" s="64"/>
      <c r="Y1183" s="64"/>
      <c r="Z1183" s="64"/>
      <c r="AA1183" s="64"/>
      <c r="AB1183" s="64"/>
      <c r="AC1183" s="64"/>
      <c r="AD1183" s="64"/>
      <c r="AG1183" s="62" t="str">
        <f t="shared" si="323"/>
        <v>Hide Row</v>
      </c>
    </row>
    <row r="1184" spans="1:33">
      <c r="C1184" s="58" t="s">
        <v>379</v>
      </c>
      <c r="E1184" s="59">
        <f t="shared" si="325"/>
        <v>0</v>
      </c>
      <c r="F1184" s="59">
        <v>0</v>
      </c>
      <c r="G1184" s="59">
        <v>0</v>
      </c>
      <c r="H1184" s="59">
        <v>0</v>
      </c>
      <c r="I1184" s="59">
        <v>0</v>
      </c>
      <c r="J1184" s="59">
        <v>0</v>
      </c>
      <c r="K1184" s="59">
        <v>0</v>
      </c>
      <c r="L1184" s="59">
        <v>0</v>
      </c>
      <c r="M1184" s="59">
        <v>0</v>
      </c>
      <c r="N1184" s="59">
        <v>0</v>
      </c>
      <c r="O1184" s="59">
        <v>0</v>
      </c>
      <c r="P1184" s="59">
        <v>0</v>
      </c>
      <c r="Q1184" s="59">
        <v>0</v>
      </c>
      <c r="U1184" s="60" t="e">
        <v>#N/A</v>
      </c>
      <c r="V1184" s="51" t="s">
        <v>379</v>
      </c>
      <c r="W1184" s="64"/>
      <c r="X1184" s="64"/>
      <c r="Y1184" s="64"/>
      <c r="Z1184" s="64"/>
      <c r="AA1184" s="64"/>
      <c r="AB1184" s="64"/>
      <c r="AC1184" s="64"/>
      <c r="AD1184" s="64"/>
      <c r="AG1184" s="62" t="str">
        <f t="shared" si="323"/>
        <v>Hide Row</v>
      </c>
    </row>
    <row r="1185" spans="3:33">
      <c r="C1185" s="58" t="s">
        <v>381</v>
      </c>
      <c r="E1185" s="59">
        <f t="shared" si="322"/>
        <v>0</v>
      </c>
      <c r="F1185" s="59">
        <v>0</v>
      </c>
      <c r="G1185" s="59">
        <v>0</v>
      </c>
      <c r="H1185" s="59">
        <v>0</v>
      </c>
      <c r="I1185" s="59">
        <v>0</v>
      </c>
      <c r="J1185" s="59">
        <v>0</v>
      </c>
      <c r="K1185" s="59">
        <v>0</v>
      </c>
      <c r="L1185" s="59">
        <v>0</v>
      </c>
      <c r="M1185" s="59">
        <v>0</v>
      </c>
      <c r="N1185" s="59">
        <v>0</v>
      </c>
      <c r="O1185" s="59">
        <v>0</v>
      </c>
      <c r="P1185" s="59">
        <v>0</v>
      </c>
      <c r="Q1185" s="59">
        <v>0</v>
      </c>
      <c r="U1185" s="60" t="e">
        <v>#N/A</v>
      </c>
      <c r="V1185" s="51" t="s">
        <v>381</v>
      </c>
      <c r="W1185" s="64"/>
      <c r="X1185" s="64"/>
      <c r="Y1185" s="64"/>
      <c r="Z1185" s="64"/>
      <c r="AA1185" s="64"/>
      <c r="AB1185" s="64"/>
      <c r="AC1185" s="64"/>
      <c r="AD1185" s="64"/>
      <c r="AG1185" s="62" t="str">
        <f t="shared" si="323"/>
        <v>Hide Row</v>
      </c>
    </row>
    <row r="1186" spans="3:33">
      <c r="C1186" s="58" t="s">
        <v>382</v>
      </c>
      <c r="E1186" s="59">
        <f t="shared" si="322"/>
        <v>0</v>
      </c>
      <c r="F1186" s="59">
        <v>0</v>
      </c>
      <c r="G1186" s="59">
        <v>0</v>
      </c>
      <c r="H1186" s="59">
        <v>0</v>
      </c>
      <c r="I1186" s="59">
        <v>0</v>
      </c>
      <c r="J1186" s="59">
        <v>0</v>
      </c>
      <c r="K1186" s="59">
        <v>0</v>
      </c>
      <c r="L1186" s="59">
        <v>0</v>
      </c>
      <c r="M1186" s="59">
        <v>0</v>
      </c>
      <c r="N1186" s="59">
        <v>0</v>
      </c>
      <c r="O1186" s="59">
        <v>0</v>
      </c>
      <c r="P1186" s="59">
        <v>0</v>
      </c>
      <c r="Q1186" s="59">
        <v>0</v>
      </c>
      <c r="U1186" s="60" t="e">
        <v>#N/A</v>
      </c>
      <c r="V1186" s="51" t="s">
        <v>382</v>
      </c>
      <c r="W1186" s="64"/>
      <c r="X1186" s="64"/>
      <c r="Y1186" s="64"/>
      <c r="Z1186" s="64"/>
      <c r="AA1186" s="64"/>
      <c r="AB1186" s="64"/>
      <c r="AC1186" s="64"/>
      <c r="AD1186" s="64"/>
      <c r="AG1186" s="62" t="str">
        <f t="shared" si="323"/>
        <v>Hide Row</v>
      </c>
    </row>
    <row r="1187" spans="3:33">
      <c r="C1187" s="58" t="s">
        <v>384</v>
      </c>
      <c r="E1187" s="59">
        <f t="shared" si="322"/>
        <v>0</v>
      </c>
      <c r="F1187" s="59">
        <v>0</v>
      </c>
      <c r="G1187" s="59">
        <v>0</v>
      </c>
      <c r="H1187" s="59">
        <v>0</v>
      </c>
      <c r="I1187" s="59">
        <v>0</v>
      </c>
      <c r="J1187" s="59">
        <v>0</v>
      </c>
      <c r="K1187" s="59">
        <v>0</v>
      </c>
      <c r="L1187" s="59">
        <v>0</v>
      </c>
      <c r="M1187" s="59">
        <v>0</v>
      </c>
      <c r="N1187" s="59">
        <v>0</v>
      </c>
      <c r="O1187" s="59">
        <v>0</v>
      </c>
      <c r="P1187" s="59">
        <v>0</v>
      </c>
      <c r="Q1187" s="59">
        <v>0</v>
      </c>
      <c r="U1187" s="60" t="e">
        <v>#N/A</v>
      </c>
      <c r="V1187" s="51" t="s">
        <v>384</v>
      </c>
      <c r="W1187" s="64"/>
      <c r="X1187" s="64"/>
      <c r="Y1187" s="64"/>
      <c r="Z1187" s="64"/>
      <c r="AA1187" s="64"/>
      <c r="AB1187" s="64"/>
      <c r="AC1187" s="64"/>
      <c r="AD1187" s="64"/>
      <c r="AG1187" s="62" t="str">
        <f t="shared" si="323"/>
        <v>Hide Row</v>
      </c>
    </row>
    <row r="1188" spans="3:33">
      <c r="C1188" s="58" t="s">
        <v>385</v>
      </c>
      <c r="E1188" s="59">
        <f t="shared" si="322"/>
        <v>0</v>
      </c>
      <c r="F1188" s="59">
        <v>0</v>
      </c>
      <c r="G1188" s="59">
        <v>0</v>
      </c>
      <c r="H1188" s="59">
        <v>0</v>
      </c>
      <c r="I1188" s="59">
        <v>0</v>
      </c>
      <c r="J1188" s="59">
        <v>0</v>
      </c>
      <c r="K1188" s="59">
        <v>0</v>
      </c>
      <c r="L1188" s="59">
        <v>0</v>
      </c>
      <c r="M1188" s="59">
        <v>0</v>
      </c>
      <c r="N1188" s="59">
        <v>0</v>
      </c>
      <c r="O1188" s="59">
        <v>0</v>
      </c>
      <c r="P1188" s="59">
        <v>0</v>
      </c>
      <c r="Q1188" s="59">
        <v>0</v>
      </c>
      <c r="U1188" s="60" t="e">
        <v>#N/A</v>
      </c>
      <c r="V1188" s="51" t="s">
        <v>385</v>
      </c>
      <c r="W1188" s="64"/>
      <c r="X1188" s="64"/>
      <c r="Y1188" s="64"/>
      <c r="Z1188" s="64"/>
      <c r="AA1188" s="64"/>
      <c r="AB1188" s="64"/>
      <c r="AC1188" s="64"/>
      <c r="AD1188" s="64"/>
      <c r="AG1188" s="62" t="str">
        <f t="shared" si="323"/>
        <v>Hide Row</v>
      </c>
    </row>
    <row r="1189" spans="3:33">
      <c r="C1189" s="58" t="s">
        <v>389</v>
      </c>
      <c r="E1189" s="59">
        <f t="shared" si="322"/>
        <v>0</v>
      </c>
      <c r="F1189" s="59">
        <v>0</v>
      </c>
      <c r="G1189" s="59">
        <v>0</v>
      </c>
      <c r="H1189" s="59">
        <v>0</v>
      </c>
      <c r="I1189" s="59">
        <v>0</v>
      </c>
      <c r="J1189" s="59">
        <v>0</v>
      </c>
      <c r="K1189" s="59">
        <v>0</v>
      </c>
      <c r="L1189" s="59">
        <v>0</v>
      </c>
      <c r="M1189" s="59">
        <v>0</v>
      </c>
      <c r="N1189" s="59">
        <v>0</v>
      </c>
      <c r="O1189" s="59">
        <v>0</v>
      </c>
      <c r="P1189" s="59">
        <v>0</v>
      </c>
      <c r="Q1189" s="59">
        <v>0</v>
      </c>
      <c r="U1189" s="60" t="e">
        <v>#N/A</v>
      </c>
      <c r="V1189" s="51" t="s">
        <v>389</v>
      </c>
      <c r="W1189" s="64"/>
      <c r="X1189" s="64"/>
      <c r="Y1189" s="64"/>
      <c r="Z1189" s="64"/>
      <c r="AA1189" s="64"/>
      <c r="AB1189" s="64"/>
      <c r="AC1189" s="64"/>
      <c r="AD1189" s="64"/>
      <c r="AG1189" s="62" t="str">
        <f t="shared" si="323"/>
        <v>Hide Row</v>
      </c>
    </row>
    <row r="1190" spans="3:33">
      <c r="C1190" s="58" t="s">
        <v>390</v>
      </c>
      <c r="E1190" s="59">
        <f t="shared" si="322"/>
        <v>0</v>
      </c>
      <c r="F1190" s="59">
        <v>0</v>
      </c>
      <c r="G1190" s="59">
        <v>0</v>
      </c>
      <c r="H1190" s="59">
        <v>0</v>
      </c>
      <c r="I1190" s="59">
        <v>0</v>
      </c>
      <c r="J1190" s="59">
        <v>0</v>
      </c>
      <c r="K1190" s="59">
        <v>0</v>
      </c>
      <c r="L1190" s="59">
        <v>0</v>
      </c>
      <c r="M1190" s="59">
        <v>0</v>
      </c>
      <c r="N1190" s="59">
        <v>0</v>
      </c>
      <c r="O1190" s="59">
        <v>0</v>
      </c>
      <c r="P1190" s="59">
        <v>0</v>
      </c>
      <c r="Q1190" s="59">
        <v>0</v>
      </c>
      <c r="U1190" s="60" t="e">
        <v>#N/A</v>
      </c>
      <c r="V1190" s="51" t="s">
        <v>390</v>
      </c>
      <c r="W1190" s="64"/>
      <c r="X1190" s="64"/>
      <c r="Y1190" s="64"/>
      <c r="Z1190" s="64"/>
      <c r="AA1190" s="64"/>
      <c r="AB1190" s="64"/>
      <c r="AC1190" s="64"/>
      <c r="AD1190" s="64"/>
      <c r="AG1190" s="62" t="str">
        <f t="shared" si="323"/>
        <v>Hide Row</v>
      </c>
    </row>
    <row r="1191" spans="3:33">
      <c r="C1191" s="58" t="s">
        <v>392</v>
      </c>
      <c r="E1191" s="59">
        <f t="shared" si="322"/>
        <v>0</v>
      </c>
      <c r="F1191" s="59">
        <v>0</v>
      </c>
      <c r="G1191" s="59">
        <v>0</v>
      </c>
      <c r="H1191" s="59">
        <v>0</v>
      </c>
      <c r="I1191" s="59">
        <v>0</v>
      </c>
      <c r="J1191" s="59">
        <v>0</v>
      </c>
      <c r="K1191" s="59">
        <v>0</v>
      </c>
      <c r="L1191" s="59">
        <v>0</v>
      </c>
      <c r="M1191" s="59">
        <v>0</v>
      </c>
      <c r="N1191" s="59">
        <v>0</v>
      </c>
      <c r="O1191" s="59">
        <v>0</v>
      </c>
      <c r="P1191" s="59">
        <v>0</v>
      </c>
      <c r="Q1191" s="59">
        <v>0</v>
      </c>
      <c r="U1191" s="60" t="e">
        <v>#N/A</v>
      </c>
      <c r="V1191" s="51" t="s">
        <v>392</v>
      </c>
      <c r="W1191" s="64"/>
      <c r="X1191" s="64"/>
      <c r="Y1191" s="64"/>
      <c r="Z1191" s="64"/>
      <c r="AA1191" s="64"/>
      <c r="AB1191" s="64"/>
      <c r="AC1191" s="64"/>
      <c r="AD1191" s="64"/>
      <c r="AG1191" s="62" t="str">
        <f t="shared" si="323"/>
        <v>Hide Row</v>
      </c>
    </row>
    <row r="1192" spans="3:33">
      <c r="C1192" s="58" t="s">
        <v>393</v>
      </c>
      <c r="E1192" s="59">
        <f t="shared" si="322"/>
        <v>0</v>
      </c>
      <c r="F1192" s="59">
        <v>0</v>
      </c>
      <c r="G1192" s="59">
        <v>0</v>
      </c>
      <c r="H1192" s="59">
        <v>0</v>
      </c>
      <c r="I1192" s="59">
        <v>0</v>
      </c>
      <c r="J1192" s="59">
        <v>0</v>
      </c>
      <c r="K1192" s="59">
        <v>0</v>
      </c>
      <c r="L1192" s="59">
        <v>0</v>
      </c>
      <c r="M1192" s="59">
        <v>0</v>
      </c>
      <c r="N1192" s="59">
        <v>0</v>
      </c>
      <c r="O1192" s="59">
        <v>0</v>
      </c>
      <c r="P1192" s="59">
        <v>0</v>
      </c>
      <c r="Q1192" s="59">
        <v>0</v>
      </c>
      <c r="U1192" s="60" t="e">
        <v>#N/A</v>
      </c>
      <c r="V1192" s="51" t="s">
        <v>393</v>
      </c>
      <c r="W1192" s="64"/>
      <c r="X1192" s="64"/>
      <c r="Y1192" s="64"/>
      <c r="Z1192" s="64"/>
      <c r="AA1192" s="64"/>
      <c r="AB1192" s="64"/>
      <c r="AC1192" s="64"/>
      <c r="AD1192" s="64"/>
      <c r="AG1192" s="62" t="str">
        <f t="shared" si="323"/>
        <v>Hide Row</v>
      </c>
    </row>
    <row r="1193" spans="3:33">
      <c r="C1193" s="58" t="s">
        <v>394</v>
      </c>
      <c r="E1193" s="59">
        <f t="shared" si="322"/>
        <v>0</v>
      </c>
      <c r="F1193" s="59">
        <v>0</v>
      </c>
      <c r="G1193" s="59">
        <v>0</v>
      </c>
      <c r="H1193" s="59">
        <v>0</v>
      </c>
      <c r="I1193" s="59">
        <v>0</v>
      </c>
      <c r="J1193" s="59">
        <v>0</v>
      </c>
      <c r="K1193" s="59">
        <v>0</v>
      </c>
      <c r="L1193" s="59">
        <v>0</v>
      </c>
      <c r="M1193" s="59">
        <v>0</v>
      </c>
      <c r="N1193" s="59">
        <v>0</v>
      </c>
      <c r="O1193" s="59">
        <v>0</v>
      </c>
      <c r="P1193" s="59">
        <v>0</v>
      </c>
      <c r="Q1193" s="59">
        <v>0</v>
      </c>
      <c r="U1193" s="60" t="e">
        <v>#N/A</v>
      </c>
      <c r="V1193" s="51" t="s">
        <v>394</v>
      </c>
      <c r="W1193" s="64"/>
      <c r="X1193" s="64"/>
      <c r="Y1193" s="64"/>
      <c r="Z1193" s="64"/>
      <c r="AA1193" s="64"/>
      <c r="AB1193" s="64"/>
      <c r="AC1193" s="64"/>
      <c r="AD1193" s="64"/>
      <c r="AG1193" s="62" t="str">
        <f t="shared" si="323"/>
        <v>Hide Row</v>
      </c>
    </row>
    <row r="1194" spans="3:33">
      <c r="C1194" s="58" t="s">
        <v>395</v>
      </c>
      <c r="E1194" s="59">
        <f t="shared" si="322"/>
        <v>0</v>
      </c>
      <c r="F1194" s="59">
        <v>0</v>
      </c>
      <c r="G1194" s="59">
        <v>0</v>
      </c>
      <c r="H1194" s="59">
        <v>0</v>
      </c>
      <c r="I1194" s="59">
        <v>0</v>
      </c>
      <c r="J1194" s="59">
        <v>0</v>
      </c>
      <c r="K1194" s="59">
        <v>0</v>
      </c>
      <c r="L1194" s="59">
        <v>0</v>
      </c>
      <c r="M1194" s="59">
        <v>0</v>
      </c>
      <c r="N1194" s="59">
        <v>0</v>
      </c>
      <c r="O1194" s="59">
        <v>0</v>
      </c>
      <c r="P1194" s="59">
        <v>0</v>
      </c>
      <c r="Q1194" s="59">
        <v>0</v>
      </c>
      <c r="U1194" s="60" t="e">
        <v>#N/A</v>
      </c>
      <c r="V1194" s="51" t="s">
        <v>395</v>
      </c>
      <c r="W1194" s="64"/>
      <c r="X1194" s="64"/>
      <c r="Y1194" s="64"/>
      <c r="Z1194" s="64"/>
      <c r="AA1194" s="64"/>
      <c r="AB1194" s="64"/>
      <c r="AC1194" s="64"/>
      <c r="AD1194" s="64"/>
      <c r="AG1194" s="62" t="str">
        <f t="shared" si="323"/>
        <v>Hide Row</v>
      </c>
    </row>
    <row r="1195" spans="3:33">
      <c r="C1195" s="58" t="s">
        <v>397</v>
      </c>
      <c r="E1195" s="59">
        <f>SUM(F1195:Q1195)</f>
        <v>0</v>
      </c>
      <c r="F1195" s="59">
        <v>0</v>
      </c>
      <c r="G1195" s="59">
        <v>0</v>
      </c>
      <c r="H1195" s="59">
        <v>0</v>
      </c>
      <c r="I1195" s="59">
        <v>0</v>
      </c>
      <c r="J1195" s="59">
        <v>0</v>
      </c>
      <c r="K1195" s="59">
        <v>0</v>
      </c>
      <c r="L1195" s="59">
        <v>0</v>
      </c>
      <c r="M1195" s="59">
        <v>0</v>
      </c>
      <c r="N1195" s="59">
        <v>0</v>
      </c>
      <c r="O1195" s="59">
        <v>0</v>
      </c>
      <c r="P1195" s="59">
        <v>0</v>
      </c>
      <c r="Q1195" s="59">
        <v>0</v>
      </c>
      <c r="U1195" s="60" t="e">
        <v>#N/A</v>
      </c>
      <c r="V1195" s="77" t="s">
        <v>397</v>
      </c>
      <c r="W1195" s="64"/>
      <c r="X1195" s="64"/>
      <c r="Y1195" s="64"/>
      <c r="Z1195" s="64"/>
      <c r="AA1195" s="64"/>
      <c r="AB1195" s="64"/>
      <c r="AC1195" s="64"/>
      <c r="AD1195" s="64"/>
      <c r="AG1195" s="62" t="str">
        <f t="shared" si="323"/>
        <v>Hide Row</v>
      </c>
    </row>
    <row r="1196" spans="3:33">
      <c r="C1196" s="58" t="s">
        <v>398</v>
      </c>
      <c r="E1196" s="59">
        <f>SUM(F1196:Q1196)</f>
        <v>0</v>
      </c>
      <c r="F1196" s="59">
        <v>0</v>
      </c>
      <c r="G1196" s="59">
        <v>0</v>
      </c>
      <c r="H1196" s="59">
        <v>0</v>
      </c>
      <c r="I1196" s="59">
        <v>0</v>
      </c>
      <c r="J1196" s="59">
        <v>0</v>
      </c>
      <c r="K1196" s="59">
        <v>0</v>
      </c>
      <c r="L1196" s="59">
        <v>0</v>
      </c>
      <c r="M1196" s="59">
        <v>0</v>
      </c>
      <c r="N1196" s="59">
        <v>0</v>
      </c>
      <c r="O1196" s="59">
        <v>0</v>
      </c>
      <c r="P1196" s="59">
        <v>0</v>
      </c>
      <c r="Q1196" s="59">
        <v>0</v>
      </c>
      <c r="U1196" s="60" t="e">
        <v>#N/A</v>
      </c>
      <c r="V1196" s="77" t="s">
        <v>398</v>
      </c>
      <c r="W1196" s="64"/>
      <c r="X1196" s="212"/>
      <c r="Y1196" s="64"/>
      <c r="Z1196" s="64"/>
      <c r="AA1196" s="64"/>
      <c r="AB1196" s="64"/>
      <c r="AC1196" s="64"/>
      <c r="AD1196" s="64"/>
      <c r="AG1196" s="62" t="str">
        <f t="shared" si="323"/>
        <v>Hide Row</v>
      </c>
    </row>
    <row r="1197" spans="3:33">
      <c r="C1197" s="58" t="s">
        <v>399</v>
      </c>
      <c r="E1197" s="59">
        <f>SUM(F1197:Q1197)</f>
        <v>0</v>
      </c>
      <c r="F1197" s="59">
        <v>0</v>
      </c>
      <c r="G1197" s="59">
        <v>0</v>
      </c>
      <c r="H1197" s="59">
        <v>0</v>
      </c>
      <c r="I1197" s="59">
        <v>0</v>
      </c>
      <c r="J1197" s="59">
        <v>0</v>
      </c>
      <c r="K1197" s="59">
        <v>0</v>
      </c>
      <c r="L1197" s="59">
        <v>0</v>
      </c>
      <c r="M1197" s="59">
        <v>0</v>
      </c>
      <c r="N1197" s="59">
        <v>0</v>
      </c>
      <c r="O1197" s="59">
        <v>0</v>
      </c>
      <c r="P1197" s="59">
        <v>0</v>
      </c>
      <c r="Q1197" s="59">
        <v>0</v>
      </c>
      <c r="U1197" s="60" t="e">
        <v>#N/A</v>
      </c>
      <c r="V1197" s="51" t="s">
        <v>399</v>
      </c>
      <c r="W1197" s="64"/>
      <c r="X1197" s="212"/>
      <c r="Y1197" s="64"/>
      <c r="Z1197" s="64"/>
      <c r="AA1197" s="64"/>
      <c r="AB1197" s="64"/>
      <c r="AC1197" s="64"/>
      <c r="AD1197" s="64"/>
      <c r="AG1197" s="62" t="str">
        <f t="shared" si="323"/>
        <v>Hide Row</v>
      </c>
    </row>
    <row r="1198" spans="3:33">
      <c r="C1198" s="58" t="s">
        <v>400</v>
      </c>
      <c r="E1198" s="59">
        <f>SUM(F1198:Q1198)</f>
        <v>0</v>
      </c>
      <c r="F1198" s="59">
        <v>0</v>
      </c>
      <c r="G1198" s="59">
        <v>0</v>
      </c>
      <c r="H1198" s="59">
        <v>0</v>
      </c>
      <c r="I1198" s="59">
        <v>0</v>
      </c>
      <c r="J1198" s="59">
        <v>0</v>
      </c>
      <c r="K1198" s="59">
        <v>0</v>
      </c>
      <c r="L1198" s="59">
        <v>0</v>
      </c>
      <c r="M1198" s="59">
        <v>0</v>
      </c>
      <c r="N1198" s="59">
        <v>0</v>
      </c>
      <c r="O1198" s="59">
        <v>0</v>
      </c>
      <c r="P1198" s="59">
        <v>0</v>
      </c>
      <c r="Q1198" s="59">
        <v>0</v>
      </c>
      <c r="U1198" s="60" t="e">
        <v>#N/A</v>
      </c>
      <c r="V1198" s="51" t="s">
        <v>400</v>
      </c>
      <c r="W1198" s="64"/>
      <c r="X1198" s="212"/>
      <c r="Y1198" s="64"/>
      <c r="Z1198" s="64"/>
      <c r="AA1198" s="64"/>
      <c r="AB1198" s="64"/>
      <c r="AC1198" s="64"/>
      <c r="AD1198" s="64"/>
      <c r="AG1198" s="62" t="str">
        <f t="shared" si="323"/>
        <v>Hide Row</v>
      </c>
    </row>
    <row r="1199" spans="3:33">
      <c r="C1199" s="58" t="s">
        <v>401</v>
      </c>
      <c r="E1199" s="59">
        <f t="shared" ref="E1199:E1209" si="326">SUM(F1199:Q1199)</f>
        <v>0</v>
      </c>
      <c r="F1199" s="59">
        <v>0</v>
      </c>
      <c r="G1199" s="59">
        <v>0</v>
      </c>
      <c r="H1199" s="59">
        <v>0</v>
      </c>
      <c r="I1199" s="59">
        <v>0</v>
      </c>
      <c r="J1199" s="59">
        <v>0</v>
      </c>
      <c r="K1199" s="59">
        <v>0</v>
      </c>
      <c r="L1199" s="59">
        <v>0</v>
      </c>
      <c r="M1199" s="59">
        <v>0</v>
      </c>
      <c r="N1199" s="59">
        <v>0</v>
      </c>
      <c r="O1199" s="59">
        <v>0</v>
      </c>
      <c r="P1199" s="59">
        <v>0</v>
      </c>
      <c r="Q1199" s="59">
        <v>0</v>
      </c>
      <c r="U1199" s="60">
        <v>3</v>
      </c>
      <c r="V1199" s="51" t="s">
        <v>402</v>
      </c>
      <c r="W1199" s="64"/>
      <c r="X1199" s="64"/>
      <c r="Y1199" s="64"/>
      <c r="Z1199" s="64"/>
      <c r="AA1199" s="64"/>
      <c r="AB1199" s="64"/>
      <c r="AC1199" s="64"/>
      <c r="AD1199" s="64"/>
      <c r="AG1199" s="62" t="str">
        <f t="shared" si="323"/>
        <v/>
      </c>
    </row>
    <row r="1200" spans="3:33">
      <c r="C1200" s="58" t="s">
        <v>404</v>
      </c>
      <c r="E1200" s="59">
        <f t="shared" si="326"/>
        <v>0</v>
      </c>
      <c r="F1200" s="59">
        <v>0</v>
      </c>
      <c r="G1200" s="59">
        <v>0</v>
      </c>
      <c r="H1200" s="59">
        <v>0</v>
      </c>
      <c r="I1200" s="59">
        <v>0</v>
      </c>
      <c r="J1200" s="59">
        <v>0</v>
      </c>
      <c r="K1200" s="59">
        <v>0</v>
      </c>
      <c r="L1200" s="59">
        <v>0</v>
      </c>
      <c r="M1200" s="59">
        <v>0</v>
      </c>
      <c r="N1200" s="59">
        <v>0</v>
      </c>
      <c r="O1200" s="59">
        <v>0</v>
      </c>
      <c r="P1200" s="59">
        <v>0</v>
      </c>
      <c r="Q1200" s="59">
        <v>0</v>
      </c>
      <c r="U1200" s="60" t="e">
        <v>#N/A</v>
      </c>
      <c r="V1200" s="77" t="s">
        <v>404</v>
      </c>
      <c r="W1200" s="64"/>
      <c r="X1200" s="64"/>
      <c r="Y1200" s="64"/>
      <c r="Z1200" s="64"/>
      <c r="AA1200" s="64"/>
      <c r="AB1200" s="64"/>
      <c r="AC1200" s="64"/>
      <c r="AD1200" s="64"/>
      <c r="AG1200" s="62" t="str">
        <f t="shared" si="323"/>
        <v>Hide Row</v>
      </c>
    </row>
    <row r="1201" spans="3:33">
      <c r="C1201" s="58" t="s">
        <v>405</v>
      </c>
      <c r="E1201" s="59">
        <f t="shared" ref="E1201" si="327">SUM(F1201:Q1201)</f>
        <v>0</v>
      </c>
      <c r="F1201" s="59">
        <v>0</v>
      </c>
      <c r="G1201" s="59">
        <v>0</v>
      </c>
      <c r="H1201" s="59">
        <v>0</v>
      </c>
      <c r="I1201" s="59">
        <v>0</v>
      </c>
      <c r="J1201" s="59">
        <v>0</v>
      </c>
      <c r="K1201" s="59">
        <v>0</v>
      </c>
      <c r="L1201" s="59">
        <v>0</v>
      </c>
      <c r="M1201" s="59">
        <v>0</v>
      </c>
      <c r="N1201" s="59">
        <v>0</v>
      </c>
      <c r="O1201" s="59">
        <v>0</v>
      </c>
      <c r="P1201" s="59">
        <v>0</v>
      </c>
      <c r="Q1201" s="59">
        <v>0</v>
      </c>
      <c r="U1201" s="60" t="e">
        <v>#N/A</v>
      </c>
      <c r="V1201" s="77" t="s">
        <v>405</v>
      </c>
      <c r="W1201" s="64"/>
      <c r="X1201" s="212"/>
      <c r="Y1201" s="64"/>
      <c r="Z1201" s="212"/>
      <c r="AA1201" s="64"/>
      <c r="AB1201" s="64"/>
      <c r="AC1201" s="64"/>
      <c r="AD1201" s="64"/>
      <c r="AG1201" s="62" t="str">
        <f t="shared" si="323"/>
        <v>Hide Row</v>
      </c>
    </row>
    <row r="1202" spans="3:33">
      <c r="C1202" s="58" t="s">
        <v>406</v>
      </c>
      <c r="E1202" s="59">
        <f t="shared" ref="E1202" si="328">SUM(F1202:Q1202)</f>
        <v>0</v>
      </c>
      <c r="F1202" s="59">
        <v>0</v>
      </c>
      <c r="G1202" s="59">
        <v>0</v>
      </c>
      <c r="H1202" s="59">
        <v>0</v>
      </c>
      <c r="I1202" s="59">
        <v>0</v>
      </c>
      <c r="J1202" s="59">
        <v>0</v>
      </c>
      <c r="K1202" s="59">
        <v>0</v>
      </c>
      <c r="L1202" s="59">
        <v>0</v>
      </c>
      <c r="M1202" s="59">
        <v>0</v>
      </c>
      <c r="N1202" s="59">
        <v>0</v>
      </c>
      <c r="O1202" s="59">
        <v>0</v>
      </c>
      <c r="P1202" s="59">
        <v>0</v>
      </c>
      <c r="Q1202" s="59">
        <v>0</v>
      </c>
      <c r="U1202" s="60" t="e">
        <v>#N/A</v>
      </c>
      <c r="V1202" s="77" t="s">
        <v>406</v>
      </c>
      <c r="W1202" s="64"/>
      <c r="X1202" s="212"/>
      <c r="Y1202" s="64"/>
      <c r="Z1202" s="212"/>
      <c r="AA1202" s="64"/>
      <c r="AB1202" s="64"/>
      <c r="AC1202" s="64"/>
      <c r="AD1202" s="64"/>
      <c r="AG1202" s="62" t="str">
        <f t="shared" si="323"/>
        <v>Hide Row</v>
      </c>
    </row>
    <row r="1203" spans="3:33">
      <c r="C1203" s="58" t="s">
        <v>408</v>
      </c>
      <c r="E1203" s="59">
        <f t="shared" si="326"/>
        <v>0</v>
      </c>
      <c r="F1203" s="59">
        <v>0</v>
      </c>
      <c r="G1203" s="59">
        <v>0</v>
      </c>
      <c r="H1203" s="59">
        <v>0</v>
      </c>
      <c r="I1203" s="59">
        <v>0</v>
      </c>
      <c r="J1203" s="59">
        <v>0</v>
      </c>
      <c r="K1203" s="59">
        <v>0</v>
      </c>
      <c r="L1203" s="59">
        <v>0</v>
      </c>
      <c r="M1203" s="59">
        <v>0</v>
      </c>
      <c r="N1203" s="59">
        <v>0</v>
      </c>
      <c r="O1203" s="59">
        <v>0</v>
      </c>
      <c r="P1203" s="59">
        <v>0</v>
      </c>
      <c r="Q1203" s="59">
        <v>0</v>
      </c>
      <c r="U1203" s="60" t="e">
        <v>#N/A</v>
      </c>
      <c r="V1203" s="51" t="s">
        <v>408</v>
      </c>
      <c r="W1203" s="64"/>
      <c r="X1203" s="64"/>
      <c r="Y1203" s="64"/>
      <c r="Z1203" s="64"/>
      <c r="AA1203" s="64"/>
      <c r="AB1203" s="64"/>
      <c r="AC1203" s="64"/>
      <c r="AD1203" s="64"/>
      <c r="AG1203" s="62" t="str">
        <f t="shared" si="323"/>
        <v>Hide Row</v>
      </c>
    </row>
    <row r="1204" spans="3:33">
      <c r="C1204" s="58" t="s">
        <v>409</v>
      </c>
      <c r="E1204" s="59">
        <f t="shared" ref="E1204" si="329">SUM(F1204:Q1204)</f>
        <v>0</v>
      </c>
      <c r="F1204" s="59">
        <v>0</v>
      </c>
      <c r="G1204" s="59">
        <v>0</v>
      </c>
      <c r="H1204" s="59">
        <v>0</v>
      </c>
      <c r="I1204" s="59">
        <v>0</v>
      </c>
      <c r="J1204" s="59">
        <v>0</v>
      </c>
      <c r="K1204" s="59">
        <v>0</v>
      </c>
      <c r="L1204" s="59">
        <v>0</v>
      </c>
      <c r="M1204" s="59">
        <v>0</v>
      </c>
      <c r="N1204" s="59">
        <v>0</v>
      </c>
      <c r="O1204" s="59">
        <v>0</v>
      </c>
      <c r="P1204" s="59">
        <v>0</v>
      </c>
      <c r="Q1204" s="59">
        <v>0</v>
      </c>
      <c r="U1204" s="60" t="e">
        <v>#N/A</v>
      </c>
      <c r="V1204" s="51" t="s">
        <v>409</v>
      </c>
      <c r="W1204" s="64"/>
      <c r="X1204" s="64"/>
      <c r="Y1204" s="64"/>
      <c r="Z1204" s="64"/>
      <c r="AA1204" s="64"/>
      <c r="AB1204" s="64"/>
      <c r="AC1204" s="64"/>
      <c r="AD1204" s="64"/>
      <c r="AG1204" s="62" t="str">
        <f t="shared" si="323"/>
        <v>Hide Row</v>
      </c>
    </row>
    <row r="1205" spans="3:33">
      <c r="C1205" s="58" t="s">
        <v>411</v>
      </c>
      <c r="E1205" s="59">
        <f t="shared" si="326"/>
        <v>0</v>
      </c>
      <c r="F1205" s="59">
        <v>0</v>
      </c>
      <c r="G1205" s="59">
        <v>0</v>
      </c>
      <c r="H1205" s="59">
        <v>0</v>
      </c>
      <c r="I1205" s="59">
        <v>0</v>
      </c>
      <c r="J1205" s="59">
        <v>0</v>
      </c>
      <c r="K1205" s="59">
        <v>0</v>
      </c>
      <c r="L1205" s="59">
        <v>0</v>
      </c>
      <c r="M1205" s="59">
        <v>0</v>
      </c>
      <c r="N1205" s="59">
        <v>0</v>
      </c>
      <c r="O1205" s="59">
        <v>0</v>
      </c>
      <c r="P1205" s="59">
        <v>0</v>
      </c>
      <c r="Q1205" s="59">
        <v>0</v>
      </c>
      <c r="U1205" s="60" t="e">
        <v>#N/A</v>
      </c>
      <c r="V1205" s="77" t="s">
        <v>411</v>
      </c>
      <c r="W1205" s="64"/>
      <c r="X1205" s="64"/>
      <c r="Y1205" s="64"/>
      <c r="Z1205" s="64"/>
      <c r="AA1205" s="64"/>
      <c r="AB1205" s="64"/>
      <c r="AC1205" s="64"/>
      <c r="AD1205" s="64"/>
      <c r="AG1205" s="62" t="str">
        <f t="shared" si="323"/>
        <v>Hide Row</v>
      </c>
    </row>
    <row r="1206" spans="3:33">
      <c r="C1206" s="58" t="s">
        <v>412</v>
      </c>
      <c r="E1206" s="59">
        <f t="shared" ref="E1206" si="330">SUM(F1206:Q1206)</f>
        <v>0</v>
      </c>
      <c r="F1206" s="59">
        <v>0</v>
      </c>
      <c r="G1206" s="59">
        <v>0</v>
      </c>
      <c r="H1206" s="59">
        <v>0</v>
      </c>
      <c r="I1206" s="59">
        <v>0</v>
      </c>
      <c r="J1206" s="59">
        <v>0</v>
      </c>
      <c r="K1206" s="59">
        <v>0</v>
      </c>
      <c r="L1206" s="59">
        <v>0</v>
      </c>
      <c r="M1206" s="59">
        <v>0</v>
      </c>
      <c r="N1206" s="59">
        <v>0</v>
      </c>
      <c r="O1206" s="59">
        <v>0</v>
      </c>
      <c r="P1206" s="59">
        <v>0</v>
      </c>
      <c r="Q1206" s="59">
        <v>0</v>
      </c>
      <c r="U1206" s="60" t="e">
        <v>#N/A</v>
      </c>
      <c r="V1206" s="77" t="s">
        <v>412</v>
      </c>
      <c r="W1206" s="64"/>
      <c r="X1206" s="212"/>
      <c r="Y1206" s="64"/>
      <c r="Z1206" s="64"/>
      <c r="AA1206" s="64"/>
      <c r="AB1206" s="64"/>
      <c r="AC1206" s="64"/>
      <c r="AD1206" s="64"/>
      <c r="AG1206" s="62" t="str">
        <f t="shared" si="323"/>
        <v>Hide Row</v>
      </c>
    </row>
    <row r="1207" spans="3:33">
      <c r="C1207" s="58" t="s">
        <v>414</v>
      </c>
      <c r="E1207" s="59">
        <f t="shared" si="326"/>
        <v>0</v>
      </c>
      <c r="F1207" s="59">
        <v>0</v>
      </c>
      <c r="G1207" s="59">
        <v>0</v>
      </c>
      <c r="H1207" s="59">
        <v>0</v>
      </c>
      <c r="I1207" s="59">
        <v>0</v>
      </c>
      <c r="J1207" s="59">
        <v>0</v>
      </c>
      <c r="K1207" s="59">
        <v>0</v>
      </c>
      <c r="L1207" s="59">
        <v>0</v>
      </c>
      <c r="M1207" s="59">
        <v>0</v>
      </c>
      <c r="N1207" s="59">
        <v>0</v>
      </c>
      <c r="O1207" s="59">
        <v>0</v>
      </c>
      <c r="P1207" s="59">
        <v>0</v>
      </c>
      <c r="Q1207" s="59">
        <v>0</v>
      </c>
      <c r="U1207" s="60" t="e">
        <v>#N/A</v>
      </c>
      <c r="V1207" s="51" t="s">
        <v>414</v>
      </c>
      <c r="W1207" s="64"/>
      <c r="X1207" s="64"/>
      <c r="Y1207" s="64"/>
      <c r="Z1207" s="64"/>
      <c r="AA1207" s="64"/>
      <c r="AB1207" s="64"/>
      <c r="AC1207" s="64"/>
      <c r="AD1207" s="64"/>
      <c r="AG1207" s="62" t="str">
        <f t="shared" si="323"/>
        <v>Hide Row</v>
      </c>
    </row>
    <row r="1208" spans="3:33">
      <c r="C1208" s="58" t="s">
        <v>415</v>
      </c>
      <c r="E1208" s="59">
        <f t="shared" ref="E1208" si="331">SUM(F1208:Q1208)</f>
        <v>0</v>
      </c>
      <c r="F1208" s="59">
        <v>0</v>
      </c>
      <c r="G1208" s="59">
        <v>0</v>
      </c>
      <c r="H1208" s="59">
        <v>0</v>
      </c>
      <c r="I1208" s="59">
        <v>0</v>
      </c>
      <c r="J1208" s="59">
        <v>0</v>
      </c>
      <c r="K1208" s="59">
        <v>0</v>
      </c>
      <c r="L1208" s="59">
        <v>0</v>
      </c>
      <c r="M1208" s="59">
        <v>0</v>
      </c>
      <c r="N1208" s="59">
        <v>0</v>
      </c>
      <c r="O1208" s="59">
        <v>0</v>
      </c>
      <c r="P1208" s="59">
        <v>0</v>
      </c>
      <c r="Q1208" s="59">
        <v>0</v>
      </c>
      <c r="U1208" s="60" t="e">
        <v>#N/A</v>
      </c>
      <c r="V1208" s="51" t="s">
        <v>415</v>
      </c>
      <c r="W1208" s="64"/>
      <c r="X1208" s="64"/>
      <c r="Y1208" s="64"/>
      <c r="Z1208" s="64"/>
      <c r="AA1208" s="64"/>
      <c r="AB1208" s="64"/>
      <c r="AC1208" s="64"/>
      <c r="AD1208" s="64"/>
      <c r="AG1208" s="62" t="str">
        <f t="shared" si="323"/>
        <v>Hide Row</v>
      </c>
    </row>
    <row r="1209" spans="3:33">
      <c r="C1209" s="58" t="s">
        <v>417</v>
      </c>
      <c r="E1209" s="59">
        <f t="shared" si="326"/>
        <v>0</v>
      </c>
      <c r="F1209" s="59">
        <v>0</v>
      </c>
      <c r="G1209" s="59">
        <v>0</v>
      </c>
      <c r="H1209" s="59">
        <v>0</v>
      </c>
      <c r="I1209" s="59">
        <v>0</v>
      </c>
      <c r="J1209" s="59">
        <v>0</v>
      </c>
      <c r="K1209" s="59">
        <v>0</v>
      </c>
      <c r="L1209" s="59">
        <v>0</v>
      </c>
      <c r="M1209" s="59">
        <v>0</v>
      </c>
      <c r="N1209" s="59">
        <v>0</v>
      </c>
      <c r="O1209" s="59">
        <v>0</v>
      </c>
      <c r="P1209" s="59">
        <v>0</v>
      </c>
      <c r="Q1209" s="59">
        <v>0</v>
      </c>
      <c r="U1209" s="60">
        <v>36</v>
      </c>
      <c r="V1209" s="77" t="s">
        <v>417</v>
      </c>
      <c r="W1209" s="64"/>
      <c r="X1209" s="64"/>
      <c r="Y1209" s="64"/>
      <c r="Z1209" s="64"/>
      <c r="AA1209" s="64"/>
      <c r="AB1209" s="64"/>
      <c r="AC1209" s="64"/>
      <c r="AD1209" s="64"/>
      <c r="AG1209" s="62" t="str">
        <f t="shared" si="323"/>
        <v/>
      </c>
    </row>
    <row r="1210" spans="3:33">
      <c r="C1210" s="58" t="s">
        <v>418</v>
      </c>
      <c r="E1210" s="59">
        <f t="shared" ref="E1210:E1212" si="332">SUM(F1210:Q1210)</f>
        <v>0</v>
      </c>
      <c r="F1210" s="59">
        <v>0</v>
      </c>
      <c r="G1210" s="59">
        <v>0</v>
      </c>
      <c r="H1210" s="59">
        <v>0</v>
      </c>
      <c r="I1210" s="59">
        <v>0</v>
      </c>
      <c r="J1210" s="59">
        <v>0</v>
      </c>
      <c r="K1210" s="59">
        <v>0</v>
      </c>
      <c r="L1210" s="59">
        <v>0</v>
      </c>
      <c r="M1210" s="59">
        <v>0</v>
      </c>
      <c r="N1210" s="59">
        <v>0</v>
      </c>
      <c r="O1210" s="59">
        <v>0</v>
      </c>
      <c r="P1210" s="59">
        <v>0</v>
      </c>
      <c r="Q1210" s="59">
        <v>0</v>
      </c>
      <c r="U1210" s="60">
        <v>34</v>
      </c>
      <c r="V1210" s="77" t="s">
        <v>418</v>
      </c>
      <c r="W1210" s="64"/>
      <c r="X1210" s="212"/>
      <c r="Y1210" s="64"/>
      <c r="Z1210" s="64"/>
      <c r="AA1210" s="64"/>
      <c r="AB1210" s="64"/>
      <c r="AC1210" s="64"/>
      <c r="AD1210" s="64"/>
      <c r="AG1210" s="62" t="str">
        <f t="shared" si="323"/>
        <v/>
      </c>
    </row>
    <row r="1211" spans="3:33">
      <c r="C1211" s="58" t="s">
        <v>419</v>
      </c>
      <c r="E1211" s="59">
        <f t="shared" si="332"/>
        <v>0</v>
      </c>
      <c r="F1211" s="59">
        <v>0</v>
      </c>
      <c r="G1211" s="59">
        <v>0</v>
      </c>
      <c r="H1211" s="59">
        <v>0</v>
      </c>
      <c r="I1211" s="59">
        <v>0</v>
      </c>
      <c r="J1211" s="59">
        <v>0</v>
      </c>
      <c r="K1211" s="59">
        <v>0</v>
      </c>
      <c r="L1211" s="59">
        <v>0</v>
      </c>
      <c r="M1211" s="59">
        <v>0</v>
      </c>
      <c r="N1211" s="59">
        <v>0</v>
      </c>
      <c r="O1211" s="59">
        <v>0</v>
      </c>
      <c r="P1211" s="59">
        <v>0</v>
      </c>
      <c r="Q1211" s="59">
        <v>0</v>
      </c>
      <c r="U1211" s="60">
        <v>37</v>
      </c>
      <c r="V1211" s="51" t="s">
        <v>419</v>
      </c>
      <c r="W1211" s="64"/>
      <c r="X1211" s="212"/>
      <c r="Y1211" s="64"/>
      <c r="Z1211" s="64"/>
      <c r="AA1211" s="64"/>
      <c r="AB1211" s="64"/>
      <c r="AC1211" s="64"/>
      <c r="AD1211" s="64"/>
      <c r="AG1211" s="62" t="str">
        <f t="shared" si="323"/>
        <v/>
      </c>
    </row>
    <row r="1212" spans="3:33">
      <c r="C1212" s="58" t="s">
        <v>420</v>
      </c>
      <c r="E1212" s="59">
        <f t="shared" si="332"/>
        <v>0</v>
      </c>
      <c r="F1212" s="59">
        <v>0</v>
      </c>
      <c r="G1212" s="59">
        <v>0</v>
      </c>
      <c r="H1212" s="59">
        <v>0</v>
      </c>
      <c r="I1212" s="59">
        <v>0</v>
      </c>
      <c r="J1212" s="59">
        <v>0</v>
      </c>
      <c r="K1212" s="59">
        <v>0</v>
      </c>
      <c r="L1212" s="59">
        <v>0</v>
      </c>
      <c r="M1212" s="59">
        <v>0</v>
      </c>
      <c r="N1212" s="59">
        <v>0</v>
      </c>
      <c r="O1212" s="59">
        <v>0</v>
      </c>
      <c r="P1212" s="59">
        <v>0</v>
      </c>
      <c r="Q1212" s="59">
        <v>0</v>
      </c>
      <c r="U1212" s="60">
        <v>35</v>
      </c>
      <c r="V1212" s="51" t="s">
        <v>420</v>
      </c>
      <c r="W1212" s="64"/>
      <c r="X1212" s="212"/>
      <c r="Y1212" s="64"/>
      <c r="Z1212" s="64"/>
      <c r="AA1212" s="64"/>
      <c r="AB1212" s="64"/>
      <c r="AC1212" s="64"/>
      <c r="AD1212" s="64"/>
      <c r="AG1212" s="62" t="str">
        <f>IF(OR(ISNUMBER(U1212),ISNUMBER(W1212),ISNUMBER(Y1212),ISNUMBER(AA1212),ISNUMBER(AC1212)),"","Hide Row")</f>
        <v/>
      </c>
    </row>
    <row r="1213" spans="3:33">
      <c r="C1213" s="77" t="s">
        <v>422</v>
      </c>
      <c r="E1213" s="59">
        <f>SUM(F1213:Q1213)</f>
        <v>0</v>
      </c>
      <c r="F1213" s="59">
        <v>0</v>
      </c>
      <c r="G1213" s="59">
        <v>0</v>
      </c>
      <c r="H1213" s="59">
        <v>0</v>
      </c>
      <c r="I1213" s="59">
        <v>0</v>
      </c>
      <c r="J1213" s="59">
        <v>0</v>
      </c>
      <c r="K1213" s="59">
        <v>0</v>
      </c>
      <c r="L1213" s="59">
        <v>0</v>
      </c>
      <c r="M1213" s="59">
        <v>0</v>
      </c>
      <c r="N1213" s="59">
        <v>0</v>
      </c>
      <c r="O1213" s="59">
        <v>0</v>
      </c>
      <c r="P1213" s="59">
        <v>0</v>
      </c>
      <c r="Q1213" s="59">
        <v>0</v>
      </c>
      <c r="U1213" s="60" t="e">
        <v>#N/A</v>
      </c>
      <c r="V1213" s="77" t="s">
        <v>422</v>
      </c>
      <c r="W1213" s="64"/>
      <c r="X1213" s="64"/>
      <c r="Y1213" s="64"/>
      <c r="Z1213" s="64"/>
      <c r="AA1213" s="64"/>
      <c r="AB1213" s="213"/>
      <c r="AC1213" s="64"/>
      <c r="AD1213" s="64"/>
      <c r="AG1213" s="62" t="str">
        <f t="shared" si="323"/>
        <v>Hide Row</v>
      </c>
    </row>
    <row r="1214" spans="3:33">
      <c r="C1214" s="77" t="s">
        <v>423</v>
      </c>
      <c r="E1214" s="59">
        <f>SUM(F1214:Q1214)</f>
        <v>0</v>
      </c>
      <c r="F1214" s="59">
        <v>0</v>
      </c>
      <c r="G1214" s="59">
        <v>0</v>
      </c>
      <c r="H1214" s="59">
        <v>0</v>
      </c>
      <c r="I1214" s="59">
        <v>0</v>
      </c>
      <c r="J1214" s="59">
        <v>0</v>
      </c>
      <c r="K1214" s="59">
        <v>0</v>
      </c>
      <c r="L1214" s="59">
        <v>0</v>
      </c>
      <c r="M1214" s="59">
        <v>0</v>
      </c>
      <c r="N1214" s="59">
        <v>0</v>
      </c>
      <c r="O1214" s="59">
        <v>0</v>
      </c>
      <c r="P1214" s="59">
        <v>0</v>
      </c>
      <c r="Q1214" s="59">
        <v>0</v>
      </c>
      <c r="U1214" s="60" t="e">
        <v>#N/A</v>
      </c>
      <c r="V1214" s="77" t="s">
        <v>423</v>
      </c>
      <c r="W1214" s="64"/>
      <c r="X1214" s="212"/>
      <c r="Y1214" s="64"/>
      <c r="Z1214" s="64"/>
      <c r="AA1214" s="64"/>
      <c r="AB1214" s="213"/>
      <c r="AC1214" s="64"/>
      <c r="AD1214" s="64"/>
      <c r="AG1214" s="62" t="str">
        <f t="shared" si="323"/>
        <v>Hide Row</v>
      </c>
    </row>
    <row r="1215" spans="3:33">
      <c r="W1215" s="64"/>
      <c r="X1215" s="64"/>
      <c r="Y1215" s="64"/>
      <c r="Z1215" s="64"/>
      <c r="AA1215" s="64"/>
      <c r="AB1215" s="64"/>
      <c r="AC1215" s="64"/>
      <c r="AD1215" s="64"/>
    </row>
    <row r="1216" spans="3:33">
      <c r="W1216" s="64"/>
      <c r="X1216" s="64"/>
      <c r="Y1216" s="64"/>
      <c r="Z1216" s="64"/>
      <c r="AA1216" s="64"/>
      <c r="AB1216" s="64"/>
      <c r="AC1216" s="64"/>
      <c r="AD1216" s="64"/>
    </row>
    <row r="1217" spans="1:33">
      <c r="J1217" s="41" t="s">
        <v>638</v>
      </c>
      <c r="W1217" s="64"/>
      <c r="X1217" s="64"/>
      <c r="Y1217" s="64"/>
      <c r="Z1217" s="64"/>
      <c r="AA1217" s="64"/>
      <c r="AB1217" s="64"/>
      <c r="AC1217" s="64"/>
      <c r="AD1217" s="64"/>
    </row>
    <row r="1218" spans="1:33">
      <c r="W1218" s="64"/>
      <c r="X1218" s="64"/>
      <c r="Y1218" s="64"/>
      <c r="Z1218" s="64"/>
      <c r="AA1218" s="64"/>
      <c r="AB1218" s="64"/>
      <c r="AC1218" s="64"/>
      <c r="AD1218" s="64"/>
    </row>
    <row r="1219" spans="1:33">
      <c r="W1219" s="64"/>
      <c r="X1219" s="64"/>
      <c r="Y1219" s="64"/>
      <c r="Z1219" s="64"/>
      <c r="AA1219" s="64"/>
      <c r="AB1219" s="64"/>
      <c r="AC1219" s="64"/>
      <c r="AD1219" s="64"/>
    </row>
    <row r="1220" spans="1:33">
      <c r="B1220" s="51">
        <f>B890</f>
        <v>0</v>
      </c>
      <c r="E1220" s="93"/>
      <c r="F1220" s="93"/>
      <c r="G1220" s="93"/>
      <c r="H1220" s="93"/>
      <c r="I1220" s="93"/>
      <c r="J1220" s="93"/>
      <c r="K1220" s="93"/>
      <c r="L1220" s="93"/>
      <c r="M1220" s="93"/>
      <c r="N1220" s="93"/>
      <c r="O1220" s="93"/>
      <c r="P1220" s="93"/>
      <c r="Q1220" s="93"/>
      <c r="U1220" s="86"/>
      <c r="W1220" s="64"/>
      <c r="X1220" s="64"/>
      <c r="Y1220" s="64"/>
      <c r="Z1220" s="64"/>
      <c r="AA1220" s="64"/>
      <c r="AB1220" s="64"/>
      <c r="AC1220" s="88"/>
      <c r="AD1220" s="64"/>
    </row>
    <row r="1221" spans="1:33">
      <c r="C1221" s="51" t="s">
        <v>367</v>
      </c>
      <c r="E1221" s="59">
        <f t="shared" ref="E1221:E1228" si="333">SUM(F1221:Q1221)</f>
        <v>0</v>
      </c>
      <c r="F1221" s="59">
        <v>0</v>
      </c>
      <c r="G1221" s="59">
        <v>0</v>
      </c>
      <c r="H1221" s="59">
        <v>0</v>
      </c>
      <c r="I1221" s="59">
        <v>0</v>
      </c>
      <c r="J1221" s="59">
        <v>0</v>
      </c>
      <c r="K1221" s="59">
        <v>0</v>
      </c>
      <c r="L1221" s="59">
        <v>0</v>
      </c>
      <c r="M1221" s="59">
        <v>0</v>
      </c>
      <c r="N1221" s="59">
        <v>0</v>
      </c>
      <c r="O1221" s="59">
        <v>0</v>
      </c>
      <c r="P1221" s="59">
        <v>0</v>
      </c>
      <c r="Q1221" s="59">
        <v>0</v>
      </c>
      <c r="U1221" s="60" t="e">
        <v>#N/A</v>
      </c>
      <c r="V1221" s="51" t="str">
        <f t="shared" ref="V1221:V1245" si="334">V1175</f>
        <v>APGI 7X24 return</v>
      </c>
      <c r="W1221" s="64"/>
      <c r="X1221" s="64"/>
      <c r="Y1221" s="64"/>
      <c r="Z1221" s="64"/>
      <c r="AA1221" s="64"/>
      <c r="AB1221" s="64"/>
      <c r="AC1221" s="88"/>
      <c r="AD1221" s="64"/>
      <c r="AG1221" s="62" t="str">
        <f t="shared" ref="AG1221:AG1228" si="335">IF(OR(ISNUMBER(U1221),ISNUMBER(W1221),ISNUMBER(Y1221),ISNUMBER(AA1221),ISNUMBER(AC1221)),"","Hide Row")</f>
        <v>Hide Row</v>
      </c>
    </row>
    <row r="1222" spans="1:33">
      <c r="C1222" s="51" t="s">
        <v>368</v>
      </c>
      <c r="E1222" s="59">
        <f t="shared" si="333"/>
        <v>0</v>
      </c>
      <c r="F1222" s="59">
        <v>0</v>
      </c>
      <c r="G1222" s="59">
        <v>0</v>
      </c>
      <c r="H1222" s="59">
        <v>0</v>
      </c>
      <c r="I1222" s="59">
        <v>0</v>
      </c>
      <c r="J1222" s="59">
        <v>0</v>
      </c>
      <c r="K1222" s="59">
        <v>0</v>
      </c>
      <c r="L1222" s="59">
        <v>0</v>
      </c>
      <c r="M1222" s="59">
        <v>0</v>
      </c>
      <c r="N1222" s="59">
        <v>0</v>
      </c>
      <c r="O1222" s="59">
        <v>0</v>
      </c>
      <c r="P1222" s="59">
        <v>0</v>
      </c>
      <c r="Q1222" s="59">
        <v>0</v>
      </c>
      <c r="U1222" s="60" t="e">
        <v>#N/A</v>
      </c>
      <c r="V1222" s="51" t="str">
        <f t="shared" si="334"/>
        <v>APGI LLH return</v>
      </c>
      <c r="W1222" s="64"/>
      <c r="X1222" s="64"/>
      <c r="Y1222" s="64"/>
      <c r="Z1222" s="64"/>
      <c r="AA1222" s="64"/>
      <c r="AB1222" s="64"/>
      <c r="AC1222" s="88"/>
      <c r="AD1222" s="64"/>
      <c r="AG1222" s="62" t="str">
        <f t="shared" si="335"/>
        <v>Hide Row</v>
      </c>
    </row>
    <row r="1223" spans="1:33">
      <c r="C1223" s="51" t="s">
        <v>370</v>
      </c>
      <c r="E1223" s="59">
        <f t="shared" si="333"/>
        <v>0</v>
      </c>
      <c r="F1223" s="59">
        <v>0</v>
      </c>
      <c r="G1223" s="59">
        <v>0</v>
      </c>
      <c r="H1223" s="59">
        <v>0</v>
      </c>
      <c r="I1223" s="59">
        <v>0</v>
      </c>
      <c r="J1223" s="59">
        <v>0</v>
      </c>
      <c r="K1223" s="59">
        <v>0</v>
      </c>
      <c r="L1223" s="59">
        <v>0</v>
      </c>
      <c r="M1223" s="59">
        <v>0</v>
      </c>
      <c r="N1223" s="59">
        <v>0</v>
      </c>
      <c r="O1223" s="59">
        <v>0</v>
      </c>
      <c r="P1223" s="59">
        <v>0</v>
      </c>
      <c r="Q1223" s="59">
        <v>0</v>
      </c>
      <c r="U1223" s="60" t="e">
        <v>#N/A</v>
      </c>
      <c r="V1223" s="51" t="str">
        <f t="shared" si="334"/>
        <v>APS Exchange</v>
      </c>
      <c r="W1223" s="64"/>
      <c r="X1223" s="64"/>
      <c r="Y1223" s="64"/>
      <c r="Z1223" s="64"/>
      <c r="AA1223" s="64"/>
      <c r="AB1223" s="64"/>
      <c r="AC1223" s="88"/>
      <c r="AD1223" s="64"/>
      <c r="AG1223" s="62" t="str">
        <f t="shared" si="335"/>
        <v>Hide Row</v>
      </c>
    </row>
    <row r="1224" spans="1:33">
      <c r="C1224" s="51" t="s">
        <v>371</v>
      </c>
      <c r="E1224" s="59">
        <f t="shared" si="333"/>
        <v>0</v>
      </c>
      <c r="F1224" s="59">
        <v>0</v>
      </c>
      <c r="G1224" s="59">
        <v>0</v>
      </c>
      <c r="H1224" s="59">
        <v>0</v>
      </c>
      <c r="I1224" s="59">
        <v>0</v>
      </c>
      <c r="J1224" s="59">
        <v>0</v>
      </c>
      <c r="K1224" s="59">
        <v>0</v>
      </c>
      <c r="L1224" s="59">
        <v>0</v>
      </c>
      <c r="M1224" s="59">
        <v>0</v>
      </c>
      <c r="N1224" s="59">
        <v>0</v>
      </c>
      <c r="O1224" s="59">
        <v>0</v>
      </c>
      <c r="P1224" s="59">
        <v>0</v>
      </c>
      <c r="Q1224" s="59">
        <v>0</v>
      </c>
      <c r="U1224" s="60" t="e">
        <v>#N/A</v>
      </c>
      <c r="V1224" s="51" t="str">
        <f t="shared" si="334"/>
        <v>APS Exchange deliver</v>
      </c>
      <c r="W1224" s="64"/>
      <c r="X1224" s="64"/>
      <c r="Y1224" s="64"/>
      <c r="Z1224" s="64"/>
      <c r="AA1224" s="64"/>
      <c r="AB1224" s="64"/>
      <c r="AC1224" s="88"/>
      <c r="AD1224" s="64"/>
      <c r="AG1224" s="62" t="str">
        <f t="shared" si="335"/>
        <v>Hide Row</v>
      </c>
    </row>
    <row r="1225" spans="1:33">
      <c r="C1225" s="51" t="s">
        <v>373</v>
      </c>
      <c r="E1225" s="59">
        <f t="shared" si="333"/>
        <v>0</v>
      </c>
      <c r="F1225" s="59">
        <v>0</v>
      </c>
      <c r="G1225" s="59">
        <v>0</v>
      </c>
      <c r="H1225" s="59">
        <v>0</v>
      </c>
      <c r="I1225" s="59">
        <v>0</v>
      </c>
      <c r="J1225" s="59">
        <v>0</v>
      </c>
      <c r="K1225" s="59">
        <v>0</v>
      </c>
      <c r="L1225" s="59">
        <v>0</v>
      </c>
      <c r="M1225" s="59">
        <v>0</v>
      </c>
      <c r="N1225" s="59">
        <v>0</v>
      </c>
      <c r="O1225" s="59">
        <v>0</v>
      </c>
      <c r="P1225" s="59">
        <v>0</v>
      </c>
      <c r="Q1225" s="59">
        <v>0</v>
      </c>
      <c r="U1225" s="60" t="e">
        <v>#N/A</v>
      </c>
      <c r="V1225" s="51" t="str">
        <f t="shared" si="334"/>
        <v>Black Hills Reserve (CTs)</v>
      </c>
      <c r="W1225" s="64"/>
      <c r="X1225" s="64"/>
      <c r="Y1225" s="64"/>
      <c r="Z1225" s="64"/>
      <c r="AA1225" s="64"/>
      <c r="AB1225" s="64"/>
      <c r="AC1225" s="88"/>
      <c r="AD1225" s="64"/>
      <c r="AG1225" s="62" t="str">
        <f t="shared" si="335"/>
        <v>Hide Row</v>
      </c>
    </row>
    <row r="1226" spans="1:33">
      <c r="C1226" s="51" t="s">
        <v>374</v>
      </c>
      <c r="E1226" s="59">
        <f t="shared" si="333"/>
        <v>0</v>
      </c>
      <c r="F1226" s="59">
        <v>0</v>
      </c>
      <c r="G1226" s="59">
        <v>0</v>
      </c>
      <c r="H1226" s="59">
        <v>0</v>
      </c>
      <c r="I1226" s="59">
        <v>0</v>
      </c>
      <c r="J1226" s="59">
        <v>0</v>
      </c>
      <c r="K1226" s="59">
        <v>0</v>
      </c>
      <c r="L1226" s="59">
        <v>0</v>
      </c>
      <c r="M1226" s="59">
        <v>0</v>
      </c>
      <c r="N1226" s="59">
        <v>0</v>
      </c>
      <c r="O1226" s="59">
        <v>0</v>
      </c>
      <c r="P1226" s="59">
        <v>0</v>
      </c>
      <c r="Q1226" s="59">
        <v>0</v>
      </c>
      <c r="U1226" s="60" t="e">
        <v>#N/A</v>
      </c>
      <c r="V1226" s="51" t="str">
        <f t="shared" si="334"/>
        <v>Black Hills Reserve</v>
      </c>
      <c r="W1226" s="64"/>
      <c r="X1226" s="64"/>
      <c r="Y1226" s="64"/>
      <c r="Z1226" s="64"/>
      <c r="AA1226" s="64"/>
      <c r="AB1226" s="64"/>
      <c r="AC1226" s="88"/>
      <c r="AD1226" s="64"/>
      <c r="AG1226" s="62" t="str">
        <f t="shared" si="335"/>
        <v>Hide Row</v>
      </c>
    </row>
    <row r="1227" spans="1:33">
      <c r="C1227" s="51" t="s">
        <v>376</v>
      </c>
      <c r="E1227" s="59">
        <f t="shared" si="333"/>
        <v>0</v>
      </c>
      <c r="F1227" s="59">
        <v>0</v>
      </c>
      <c r="G1227" s="59">
        <v>0</v>
      </c>
      <c r="H1227" s="59">
        <v>0</v>
      </c>
      <c r="I1227" s="59">
        <v>0</v>
      </c>
      <c r="J1227" s="59">
        <v>0</v>
      </c>
      <c r="K1227" s="59">
        <v>0</v>
      </c>
      <c r="L1227" s="59">
        <v>0</v>
      </c>
      <c r="M1227" s="59">
        <v>0</v>
      </c>
      <c r="N1227" s="59">
        <v>0</v>
      </c>
      <c r="O1227" s="59">
        <v>0</v>
      </c>
      <c r="P1227" s="59">
        <v>0</v>
      </c>
      <c r="Q1227" s="59">
        <v>0</v>
      </c>
      <c r="U1227" s="60" t="e">
        <v>#N/A</v>
      </c>
      <c r="V1227" s="51" t="str">
        <f t="shared" si="334"/>
        <v>BPA Spring Energy</v>
      </c>
      <c r="W1227" s="64"/>
      <c r="X1227" s="64"/>
      <c r="Y1227" s="64"/>
      <c r="Z1227" s="64"/>
      <c r="AA1227" s="64"/>
      <c r="AB1227" s="64"/>
      <c r="AC1227" s="88"/>
      <c r="AD1227" s="64"/>
      <c r="AG1227" s="62" t="str">
        <f t="shared" si="335"/>
        <v>Hide Row</v>
      </c>
    </row>
    <row r="1228" spans="1:33" s="64" customFormat="1">
      <c r="A1228" s="71"/>
      <c r="C1228" s="51" t="s">
        <v>377</v>
      </c>
      <c r="E1228" s="59">
        <f t="shared" si="333"/>
        <v>0</v>
      </c>
      <c r="F1228" s="59">
        <v>0</v>
      </c>
      <c r="G1228" s="59">
        <v>0</v>
      </c>
      <c r="H1228" s="59">
        <v>0</v>
      </c>
      <c r="I1228" s="59">
        <v>0</v>
      </c>
      <c r="J1228" s="59">
        <v>0</v>
      </c>
      <c r="K1228" s="59">
        <v>0</v>
      </c>
      <c r="L1228" s="59">
        <v>0</v>
      </c>
      <c r="M1228" s="59">
        <v>0</v>
      </c>
      <c r="N1228" s="59">
        <v>0</v>
      </c>
      <c r="O1228" s="59">
        <v>0</v>
      </c>
      <c r="P1228" s="59">
        <v>0</v>
      </c>
      <c r="Q1228" s="59">
        <v>0</v>
      </c>
      <c r="R1228" s="53"/>
      <c r="S1228" s="51"/>
      <c r="T1228" s="54"/>
      <c r="U1228" s="60" t="e">
        <v>#N/A</v>
      </c>
      <c r="V1228" s="51" t="str">
        <f t="shared" si="334"/>
        <v>BPA Spring Energy deliver</v>
      </c>
      <c r="AC1228" s="88"/>
      <c r="AE1228" s="51"/>
      <c r="AF1228" s="51"/>
      <c r="AG1228" s="62" t="str">
        <f t="shared" si="335"/>
        <v>Hide Row</v>
      </c>
    </row>
    <row r="1229" spans="1:33">
      <c r="C1229" s="51" t="s">
        <v>378</v>
      </c>
      <c r="E1229" s="59">
        <f>SUM(F1229:Q1229)</f>
        <v>0</v>
      </c>
      <c r="F1229" s="59">
        <v>0</v>
      </c>
      <c r="G1229" s="59">
        <v>0</v>
      </c>
      <c r="H1229" s="59">
        <v>0</v>
      </c>
      <c r="I1229" s="59">
        <v>0</v>
      </c>
      <c r="J1229" s="59">
        <v>0</v>
      </c>
      <c r="K1229" s="59">
        <v>0</v>
      </c>
      <c r="L1229" s="59">
        <v>0</v>
      </c>
      <c r="M1229" s="59">
        <v>0</v>
      </c>
      <c r="N1229" s="59">
        <v>0</v>
      </c>
      <c r="O1229" s="59">
        <v>0</v>
      </c>
      <c r="P1229" s="59">
        <v>0</v>
      </c>
      <c r="Q1229" s="59">
        <v>0</v>
      </c>
      <c r="U1229" s="60" t="e">
        <v>#N/A</v>
      </c>
      <c r="V1229" s="51" t="str">
        <f t="shared" si="334"/>
        <v>BPA Summer Storage</v>
      </c>
      <c r="W1229" s="64"/>
      <c r="X1229" s="64"/>
      <c r="Y1229" s="64"/>
      <c r="Z1229" s="64"/>
      <c r="AA1229" s="64"/>
      <c r="AB1229" s="64"/>
      <c r="AC1229" s="88"/>
      <c r="AD1229" s="64"/>
      <c r="AG1229" s="62" t="str">
        <f>IF(OR(ISNUMBER(U1229),ISNUMBER(W1229),ISNUMBER(Y1229),ISNUMBER(AA1229),ISNUMBER(AC1229)),"","Hide Row")</f>
        <v>Hide Row</v>
      </c>
    </row>
    <row r="1230" spans="1:33">
      <c r="C1230" s="51" t="s">
        <v>379</v>
      </c>
      <c r="E1230" s="59">
        <f t="shared" ref="E1230:E1261" si="336">SUM(F1230:Q1230)</f>
        <v>0</v>
      </c>
      <c r="F1230" s="59">
        <v>0</v>
      </c>
      <c r="G1230" s="59">
        <v>0</v>
      </c>
      <c r="H1230" s="59">
        <v>0</v>
      </c>
      <c r="I1230" s="59">
        <v>0</v>
      </c>
      <c r="J1230" s="59">
        <v>0</v>
      </c>
      <c r="K1230" s="59">
        <v>0</v>
      </c>
      <c r="L1230" s="59">
        <v>0</v>
      </c>
      <c r="M1230" s="59">
        <v>0</v>
      </c>
      <c r="N1230" s="59">
        <v>0</v>
      </c>
      <c r="O1230" s="59">
        <v>0</v>
      </c>
      <c r="P1230" s="59">
        <v>0</v>
      </c>
      <c r="Q1230" s="59">
        <v>0</v>
      </c>
      <c r="U1230" s="60" t="e">
        <v>#N/A</v>
      </c>
      <c r="V1230" s="51" t="str">
        <f t="shared" si="334"/>
        <v>BPA Summer Storage return</v>
      </c>
      <c r="W1230" s="64"/>
      <c r="X1230" s="64"/>
      <c r="Y1230" s="64"/>
      <c r="Z1230" s="64"/>
      <c r="AA1230" s="64"/>
      <c r="AB1230" s="64"/>
      <c r="AC1230" s="64"/>
      <c r="AD1230" s="64"/>
      <c r="AG1230" s="62" t="str">
        <f t="shared" ref="AG1230:AG1235" si="337">IF(OR(ISNUMBER(U1230),ISNUMBER(W1230),ISNUMBER(Y1230),ISNUMBER(AA1230),ISNUMBER(AC1230)),"","Hide Row")</f>
        <v>Hide Row</v>
      </c>
    </row>
    <row r="1231" spans="1:33" ht="13.5" customHeight="1">
      <c r="C1231" s="51" t="s">
        <v>381</v>
      </c>
      <c r="E1231" s="59">
        <f t="shared" si="336"/>
        <v>0</v>
      </c>
      <c r="F1231" s="59">
        <v>0</v>
      </c>
      <c r="G1231" s="59">
        <v>0</v>
      </c>
      <c r="H1231" s="59">
        <v>0</v>
      </c>
      <c r="I1231" s="59">
        <v>0</v>
      </c>
      <c r="J1231" s="59">
        <v>0</v>
      </c>
      <c r="K1231" s="59">
        <v>0</v>
      </c>
      <c r="L1231" s="59">
        <v>0</v>
      </c>
      <c r="M1231" s="59">
        <v>0</v>
      </c>
      <c r="N1231" s="59">
        <v>0</v>
      </c>
      <c r="O1231" s="59">
        <v>0</v>
      </c>
      <c r="P1231" s="59">
        <v>0</v>
      </c>
      <c r="Q1231" s="59">
        <v>0</v>
      </c>
      <c r="U1231" s="60" t="e">
        <v>#N/A</v>
      </c>
      <c r="V1231" s="51" t="str">
        <f t="shared" si="334"/>
        <v>BPA FC II Generation</v>
      </c>
      <c r="W1231" s="64"/>
      <c r="X1231" s="64"/>
      <c r="Y1231" s="64"/>
      <c r="Z1231" s="64"/>
      <c r="AA1231" s="64"/>
      <c r="AB1231" s="64"/>
      <c r="AC1231" s="88"/>
      <c r="AD1231" s="64"/>
      <c r="AG1231" s="62" t="str">
        <f t="shared" si="337"/>
        <v>Hide Row</v>
      </c>
    </row>
    <row r="1232" spans="1:33">
      <c r="C1232" s="51" t="s">
        <v>382</v>
      </c>
      <c r="E1232" s="59">
        <f t="shared" si="336"/>
        <v>0</v>
      </c>
      <c r="F1232" s="59">
        <v>0</v>
      </c>
      <c r="G1232" s="59">
        <v>0</v>
      </c>
      <c r="H1232" s="59">
        <v>0</v>
      </c>
      <c r="I1232" s="59">
        <v>0</v>
      </c>
      <c r="J1232" s="59">
        <v>0</v>
      </c>
      <c r="K1232" s="59">
        <v>0</v>
      </c>
      <c r="L1232" s="59">
        <v>0</v>
      </c>
      <c r="M1232" s="59">
        <v>0</v>
      </c>
      <c r="N1232" s="59">
        <v>0</v>
      </c>
      <c r="O1232" s="59">
        <v>0</v>
      </c>
      <c r="P1232" s="59">
        <v>0</v>
      </c>
      <c r="Q1232" s="59">
        <v>0</v>
      </c>
      <c r="U1232" s="60" t="e">
        <v>#N/A</v>
      </c>
      <c r="V1232" s="51" t="str">
        <f t="shared" si="334"/>
        <v>BPA FC II delivery</v>
      </c>
      <c r="W1232" s="64"/>
      <c r="X1232" s="64"/>
      <c r="Y1232" s="64"/>
      <c r="Z1232" s="64"/>
      <c r="AA1232" s="64"/>
      <c r="AB1232" s="64"/>
      <c r="AC1232" s="88"/>
      <c r="AD1232" s="64"/>
      <c r="AG1232" s="62" t="str">
        <f t="shared" si="337"/>
        <v>Hide Row</v>
      </c>
    </row>
    <row r="1233" spans="3:33">
      <c r="C1233" s="51" t="s">
        <v>384</v>
      </c>
      <c r="E1233" s="59">
        <f t="shared" si="336"/>
        <v>0</v>
      </c>
      <c r="F1233" s="59">
        <v>0</v>
      </c>
      <c r="G1233" s="59">
        <v>0</v>
      </c>
      <c r="H1233" s="59">
        <v>0</v>
      </c>
      <c r="I1233" s="59">
        <v>0</v>
      </c>
      <c r="J1233" s="59">
        <v>0</v>
      </c>
      <c r="K1233" s="59">
        <v>0</v>
      </c>
      <c r="L1233" s="59">
        <v>0</v>
      </c>
      <c r="M1233" s="59">
        <v>0</v>
      </c>
      <c r="N1233" s="59">
        <v>0</v>
      </c>
      <c r="O1233" s="59">
        <v>0</v>
      </c>
      <c r="P1233" s="59">
        <v>0</v>
      </c>
      <c r="Q1233" s="59">
        <v>0</v>
      </c>
      <c r="U1233" s="60" t="e">
        <v>#N/A</v>
      </c>
      <c r="V1233" s="51" t="str">
        <f t="shared" si="334"/>
        <v>BPA FC IV Generation</v>
      </c>
      <c r="W1233" s="64"/>
      <c r="X1233" s="64"/>
      <c r="Y1233" s="64"/>
      <c r="Z1233" s="64"/>
      <c r="AA1233" s="64"/>
      <c r="AB1233" s="64"/>
      <c r="AC1233" s="88"/>
      <c r="AD1233" s="64"/>
      <c r="AG1233" s="62" t="str">
        <f t="shared" si="337"/>
        <v>Hide Row</v>
      </c>
    </row>
    <row r="1234" spans="3:33">
      <c r="C1234" s="51" t="s">
        <v>385</v>
      </c>
      <c r="E1234" s="59">
        <f t="shared" si="336"/>
        <v>0</v>
      </c>
      <c r="F1234" s="59">
        <v>0</v>
      </c>
      <c r="G1234" s="59">
        <v>0</v>
      </c>
      <c r="H1234" s="59">
        <v>0</v>
      </c>
      <c r="I1234" s="59">
        <v>0</v>
      </c>
      <c r="J1234" s="59">
        <v>0</v>
      </c>
      <c r="K1234" s="59">
        <v>0</v>
      </c>
      <c r="L1234" s="59">
        <v>0</v>
      </c>
      <c r="M1234" s="59">
        <v>0</v>
      </c>
      <c r="N1234" s="59">
        <v>0</v>
      </c>
      <c r="O1234" s="59">
        <v>0</v>
      </c>
      <c r="P1234" s="59">
        <v>0</v>
      </c>
      <c r="Q1234" s="59">
        <v>0</v>
      </c>
      <c r="U1234" s="60" t="e">
        <v>#N/A</v>
      </c>
      <c r="V1234" s="51" t="str">
        <f t="shared" si="334"/>
        <v>BPA FC IV delivery</v>
      </c>
      <c r="W1234" s="64"/>
      <c r="X1234" s="64"/>
      <c r="Y1234" s="64"/>
      <c r="Z1234" s="64"/>
      <c r="AA1234" s="64"/>
      <c r="AB1234" s="64"/>
      <c r="AC1234" s="88"/>
      <c r="AD1234" s="64"/>
      <c r="AG1234" s="62" t="str">
        <f t="shared" si="337"/>
        <v>Hide Row</v>
      </c>
    </row>
    <row r="1235" spans="3:33">
      <c r="C1235" s="51" t="s">
        <v>389</v>
      </c>
      <c r="E1235" s="59">
        <f t="shared" si="336"/>
        <v>0</v>
      </c>
      <c r="F1235" s="59">
        <v>0</v>
      </c>
      <c r="G1235" s="59">
        <v>0</v>
      </c>
      <c r="H1235" s="59">
        <v>0</v>
      </c>
      <c r="I1235" s="59">
        <v>0</v>
      </c>
      <c r="J1235" s="59">
        <v>0</v>
      </c>
      <c r="K1235" s="59">
        <v>0</v>
      </c>
      <c r="L1235" s="59">
        <v>0</v>
      </c>
      <c r="M1235" s="59">
        <v>0</v>
      </c>
      <c r="N1235" s="59">
        <v>0</v>
      </c>
      <c r="O1235" s="59">
        <v>0</v>
      </c>
      <c r="P1235" s="59">
        <v>0</v>
      </c>
      <c r="Q1235" s="59">
        <v>0</v>
      </c>
      <c r="U1235" s="60" t="e">
        <v>#N/A</v>
      </c>
      <c r="V1235" s="51" t="str">
        <f t="shared" si="334"/>
        <v>BPA Peaking</v>
      </c>
      <c r="W1235" s="64"/>
      <c r="X1235" s="64"/>
      <c r="Y1235" s="64"/>
      <c r="Z1235" s="64"/>
      <c r="AA1235" s="64"/>
      <c r="AB1235" s="64"/>
      <c r="AC1235" s="88"/>
      <c r="AD1235" s="64"/>
      <c r="AG1235" s="62" t="str">
        <f t="shared" si="337"/>
        <v>Hide Row</v>
      </c>
    </row>
    <row r="1236" spans="3:33">
      <c r="C1236" s="51" t="s">
        <v>390</v>
      </c>
      <c r="E1236" s="59">
        <f t="shared" si="336"/>
        <v>0</v>
      </c>
      <c r="F1236" s="59">
        <v>0</v>
      </c>
      <c r="G1236" s="59">
        <v>0</v>
      </c>
      <c r="H1236" s="59">
        <v>0</v>
      </c>
      <c r="I1236" s="59">
        <v>0</v>
      </c>
      <c r="J1236" s="59">
        <v>0</v>
      </c>
      <c r="K1236" s="59">
        <v>0</v>
      </c>
      <c r="L1236" s="59">
        <v>0</v>
      </c>
      <c r="M1236" s="59">
        <v>0</v>
      </c>
      <c r="N1236" s="59">
        <v>0</v>
      </c>
      <c r="O1236" s="59">
        <v>0</v>
      </c>
      <c r="P1236" s="59">
        <v>0</v>
      </c>
      <c r="Q1236" s="59">
        <v>0</v>
      </c>
      <c r="U1236" s="60" t="e">
        <v>#N/A</v>
      </c>
      <c r="V1236" s="51" t="str">
        <f t="shared" si="334"/>
        <v>BPA PEAKING REPLACEMENT</v>
      </c>
      <c r="W1236" s="64"/>
      <c r="X1236" s="64"/>
      <c r="Y1236" s="64"/>
      <c r="Z1236" s="64"/>
      <c r="AA1236" s="64"/>
      <c r="AB1236" s="213"/>
      <c r="AC1236" s="88"/>
      <c r="AD1236" s="64"/>
      <c r="AG1236" s="62" t="str">
        <f>IF(OR(ISNUMBER(U1236),ISNUMBER(W1236),ISNUMBER(Y1236),ISNUMBER(AA1236),ISNUMBER(AC1236)),"","Hide Row")</f>
        <v>Hide Row</v>
      </c>
    </row>
    <row r="1237" spans="3:33">
      <c r="C1237" s="51" t="s">
        <v>392</v>
      </c>
      <c r="E1237" s="59">
        <f t="shared" si="336"/>
        <v>0</v>
      </c>
      <c r="F1237" s="59">
        <v>0</v>
      </c>
      <c r="G1237" s="59">
        <v>0</v>
      </c>
      <c r="H1237" s="59">
        <v>0</v>
      </c>
      <c r="I1237" s="59">
        <v>0</v>
      </c>
      <c r="J1237" s="59">
        <v>0</v>
      </c>
      <c r="K1237" s="59">
        <v>0</v>
      </c>
      <c r="L1237" s="59">
        <v>0</v>
      </c>
      <c r="M1237" s="59">
        <v>0</v>
      </c>
      <c r="N1237" s="59">
        <v>0</v>
      </c>
      <c r="O1237" s="59">
        <v>0</v>
      </c>
      <c r="P1237" s="59">
        <v>0</v>
      </c>
      <c r="Q1237" s="59">
        <v>0</v>
      </c>
      <c r="U1237" s="60" t="e">
        <v>#N/A</v>
      </c>
      <c r="V1237" s="51" t="str">
        <f t="shared" si="334"/>
        <v>BPA SO. IDAHO EXCHANGE IN</v>
      </c>
      <c r="W1237" s="64"/>
      <c r="X1237" s="64"/>
      <c r="Y1237" s="64"/>
      <c r="Z1237" s="64"/>
      <c r="AA1237" s="64"/>
      <c r="AB1237" s="64"/>
      <c r="AC1237" s="64"/>
      <c r="AD1237" s="64"/>
    </row>
    <row r="1238" spans="3:33">
      <c r="C1238" s="51" t="s">
        <v>393</v>
      </c>
      <c r="E1238" s="59">
        <f t="shared" si="336"/>
        <v>0</v>
      </c>
      <c r="F1238" s="59">
        <v>0</v>
      </c>
      <c r="G1238" s="59">
        <v>0</v>
      </c>
      <c r="H1238" s="59">
        <v>0</v>
      </c>
      <c r="I1238" s="59">
        <v>0</v>
      </c>
      <c r="J1238" s="59">
        <v>0</v>
      </c>
      <c r="K1238" s="59">
        <v>0</v>
      </c>
      <c r="L1238" s="59">
        <v>0</v>
      </c>
      <c r="M1238" s="59">
        <v>0</v>
      </c>
      <c r="N1238" s="59">
        <v>0</v>
      </c>
      <c r="O1238" s="59">
        <v>0</v>
      </c>
      <c r="P1238" s="59">
        <v>0</v>
      </c>
      <c r="Q1238" s="59">
        <v>0</v>
      </c>
      <c r="U1238" s="60" t="e">
        <v>#N/A</v>
      </c>
      <c r="V1238" s="51" t="str">
        <f t="shared" si="334"/>
        <v>BPA SO. IDAHO EXCHANGE OUT</v>
      </c>
      <c r="W1238" s="64"/>
      <c r="X1238" s="64"/>
      <c r="Y1238" s="64"/>
      <c r="Z1238" s="64"/>
      <c r="AA1238" s="64"/>
      <c r="AB1238" s="64"/>
      <c r="AC1238" s="64"/>
      <c r="AD1238" s="64"/>
    </row>
    <row r="1239" spans="3:33">
      <c r="C1239" s="51" t="s">
        <v>394</v>
      </c>
      <c r="E1239" s="59">
        <f t="shared" si="336"/>
        <v>0</v>
      </c>
      <c r="F1239" s="59">
        <v>0</v>
      </c>
      <c r="G1239" s="59">
        <v>0</v>
      </c>
      <c r="H1239" s="59">
        <v>0</v>
      </c>
      <c r="I1239" s="59">
        <v>0</v>
      </c>
      <c r="J1239" s="59">
        <v>0</v>
      </c>
      <c r="K1239" s="59">
        <v>0</v>
      </c>
      <c r="L1239" s="59">
        <v>0</v>
      </c>
      <c r="M1239" s="59">
        <v>0</v>
      </c>
      <c r="N1239" s="59">
        <v>0</v>
      </c>
      <c r="O1239" s="59">
        <v>0</v>
      </c>
      <c r="P1239" s="59">
        <v>0</v>
      </c>
      <c r="Q1239" s="59">
        <v>0</v>
      </c>
      <c r="U1239" s="60" t="e">
        <v>#N/A</v>
      </c>
      <c r="V1239" s="51" t="str">
        <f t="shared" si="334"/>
        <v>BPA PALISADES STORAGE</v>
      </c>
      <c r="W1239" s="64"/>
      <c r="X1239" s="64"/>
      <c r="Y1239" s="64"/>
      <c r="Z1239" s="64"/>
      <c r="AA1239" s="64"/>
      <c r="AB1239" s="64"/>
      <c r="AC1239" s="64"/>
      <c r="AD1239" s="64"/>
    </row>
    <row r="1240" spans="3:33">
      <c r="C1240" s="51" t="s">
        <v>395</v>
      </c>
      <c r="E1240" s="59">
        <f t="shared" si="336"/>
        <v>0</v>
      </c>
      <c r="F1240" s="59">
        <v>0</v>
      </c>
      <c r="G1240" s="59">
        <v>0</v>
      </c>
      <c r="H1240" s="59">
        <v>0</v>
      </c>
      <c r="I1240" s="59">
        <v>0</v>
      </c>
      <c r="J1240" s="59">
        <v>0</v>
      </c>
      <c r="K1240" s="59">
        <v>0</v>
      </c>
      <c r="L1240" s="59">
        <v>0</v>
      </c>
      <c r="M1240" s="59">
        <v>0</v>
      </c>
      <c r="N1240" s="59">
        <v>0</v>
      </c>
      <c r="O1240" s="59">
        <v>0</v>
      </c>
      <c r="P1240" s="59">
        <v>0</v>
      </c>
      <c r="Q1240" s="59">
        <v>0</v>
      </c>
      <c r="U1240" s="60" t="e">
        <v>#N/A</v>
      </c>
      <c r="V1240" s="51" t="str">
        <f t="shared" si="334"/>
        <v>BPA PALISADES RETURN</v>
      </c>
      <c r="W1240" s="64"/>
      <c r="X1240" s="64"/>
      <c r="Y1240" s="64"/>
      <c r="Z1240" s="64"/>
      <c r="AA1240" s="64"/>
      <c r="AB1240" s="64"/>
      <c r="AC1240" s="64"/>
      <c r="AD1240" s="64"/>
    </row>
    <row r="1241" spans="3:33">
      <c r="C1241" s="51" t="s">
        <v>397</v>
      </c>
      <c r="E1241" s="59">
        <f t="shared" si="336"/>
        <v>0</v>
      </c>
      <c r="F1241" s="59">
        <v>0</v>
      </c>
      <c r="G1241" s="59">
        <v>0</v>
      </c>
      <c r="H1241" s="59">
        <v>0</v>
      </c>
      <c r="I1241" s="59">
        <v>0</v>
      </c>
      <c r="J1241" s="59">
        <v>0</v>
      </c>
      <c r="K1241" s="59">
        <v>0</v>
      </c>
      <c r="L1241" s="59">
        <v>0</v>
      </c>
      <c r="M1241" s="59">
        <v>0</v>
      </c>
      <c r="N1241" s="59">
        <v>0</v>
      </c>
      <c r="O1241" s="59">
        <v>0</v>
      </c>
      <c r="P1241" s="59">
        <v>0</v>
      </c>
      <c r="Q1241" s="59">
        <v>0</v>
      </c>
      <c r="U1241" s="60" t="e">
        <v>#N/A</v>
      </c>
      <c r="V1241" s="51" t="str">
        <f t="shared" si="334"/>
        <v>Cargill p483225</v>
      </c>
      <c r="W1241" s="64"/>
      <c r="X1241" s="64"/>
      <c r="Y1241" s="64"/>
      <c r="Z1241" s="64"/>
      <c r="AA1241" s="64"/>
      <c r="AB1241" s="64"/>
      <c r="AC1241" s="64"/>
      <c r="AD1241" s="64"/>
    </row>
    <row r="1242" spans="3:33">
      <c r="C1242" s="51" t="s">
        <v>398</v>
      </c>
      <c r="E1242" s="59">
        <f t="shared" si="336"/>
        <v>0</v>
      </c>
      <c r="F1242" s="59">
        <v>0</v>
      </c>
      <c r="G1242" s="59">
        <v>0</v>
      </c>
      <c r="H1242" s="59">
        <v>0</v>
      </c>
      <c r="I1242" s="59">
        <v>0</v>
      </c>
      <c r="J1242" s="59">
        <v>0</v>
      </c>
      <c r="K1242" s="59">
        <v>0</v>
      </c>
      <c r="L1242" s="59">
        <v>0</v>
      </c>
      <c r="M1242" s="59">
        <v>0</v>
      </c>
      <c r="N1242" s="59">
        <v>0</v>
      </c>
      <c r="O1242" s="59">
        <v>0</v>
      </c>
      <c r="P1242" s="59">
        <v>0</v>
      </c>
      <c r="Q1242" s="59">
        <v>0</v>
      </c>
      <c r="U1242" s="60" t="e">
        <v>#N/A</v>
      </c>
      <c r="V1242" s="51" t="str">
        <f t="shared" si="334"/>
        <v>Cargill s483226</v>
      </c>
      <c r="W1242" s="64"/>
      <c r="X1242" s="64"/>
      <c r="Y1242" s="64"/>
      <c r="Z1242" s="64"/>
      <c r="AA1242" s="64"/>
      <c r="AB1242" s="64"/>
      <c r="AC1242" s="64"/>
      <c r="AD1242" s="64"/>
    </row>
    <row r="1243" spans="3:33">
      <c r="C1243" s="51" t="s">
        <v>399</v>
      </c>
      <c r="E1243" s="59">
        <f t="shared" si="336"/>
        <v>0</v>
      </c>
      <c r="F1243" s="59">
        <v>0</v>
      </c>
      <c r="G1243" s="59">
        <v>0</v>
      </c>
      <c r="H1243" s="59">
        <v>0</v>
      </c>
      <c r="I1243" s="59">
        <v>0</v>
      </c>
      <c r="J1243" s="59">
        <v>0</v>
      </c>
      <c r="K1243" s="59">
        <v>0</v>
      </c>
      <c r="L1243" s="59">
        <v>0</v>
      </c>
      <c r="M1243" s="59">
        <v>0</v>
      </c>
      <c r="N1243" s="59">
        <v>0</v>
      </c>
      <c r="O1243" s="59">
        <v>0</v>
      </c>
      <c r="P1243" s="59">
        <v>0</v>
      </c>
      <c r="Q1243" s="59">
        <v>0</v>
      </c>
      <c r="U1243" s="60" t="e">
        <v>#N/A</v>
      </c>
      <c r="V1243" s="51" t="str">
        <f t="shared" si="334"/>
        <v>Cargill p485290</v>
      </c>
      <c r="W1243" s="64"/>
      <c r="X1243" s="64"/>
      <c r="Y1243" s="64"/>
      <c r="Z1243" s="64"/>
      <c r="AA1243" s="64"/>
      <c r="AB1243" s="64"/>
      <c r="AC1243" s="64"/>
      <c r="AD1243" s="64"/>
    </row>
    <row r="1244" spans="3:33">
      <c r="C1244" s="51" t="s">
        <v>400</v>
      </c>
      <c r="E1244" s="59">
        <f t="shared" si="336"/>
        <v>0</v>
      </c>
      <c r="F1244" s="59">
        <v>0</v>
      </c>
      <c r="G1244" s="59">
        <v>0</v>
      </c>
      <c r="H1244" s="59">
        <v>0</v>
      </c>
      <c r="I1244" s="59">
        <v>0</v>
      </c>
      <c r="J1244" s="59">
        <v>0</v>
      </c>
      <c r="K1244" s="59">
        <v>0</v>
      </c>
      <c r="L1244" s="59">
        <v>0</v>
      </c>
      <c r="M1244" s="59">
        <v>0</v>
      </c>
      <c r="N1244" s="59">
        <v>0</v>
      </c>
      <c r="O1244" s="59">
        <v>0</v>
      </c>
      <c r="P1244" s="59">
        <v>0</v>
      </c>
      <c r="Q1244" s="59">
        <v>0</v>
      </c>
      <c r="U1244" s="60" t="e">
        <v>#N/A</v>
      </c>
      <c r="V1244" s="51" t="str">
        <f t="shared" si="334"/>
        <v>Cargill s485289</v>
      </c>
      <c r="W1244" s="64"/>
      <c r="X1244" s="64"/>
      <c r="Y1244" s="64"/>
      <c r="Z1244" s="64"/>
      <c r="AA1244" s="64"/>
      <c r="AB1244" s="64"/>
      <c r="AC1244" s="64"/>
      <c r="AD1244" s="64"/>
    </row>
    <row r="1245" spans="3:33">
      <c r="C1245" s="51" t="s">
        <v>401</v>
      </c>
      <c r="E1245" s="59">
        <f t="shared" si="336"/>
        <v>-258617.5</v>
      </c>
      <c r="F1245" s="59">
        <v>-9842.5</v>
      </c>
      <c r="G1245" s="59">
        <v>-21855</v>
      </c>
      <c r="H1245" s="59">
        <v>-22397.5</v>
      </c>
      <c r="I1245" s="59">
        <v>-11702.5</v>
      </c>
      <c r="J1245" s="59">
        <v>-10230</v>
      </c>
      <c r="K1245" s="59">
        <v>-19762.5</v>
      </c>
      <c r="L1245" s="59">
        <v>-697.5</v>
      </c>
      <c r="M1245" s="59">
        <v>-25575</v>
      </c>
      <c r="N1245" s="59">
        <v>-34100</v>
      </c>
      <c r="O1245" s="59">
        <v>-40997.5</v>
      </c>
      <c r="P1245" s="59">
        <v>-30302.5</v>
      </c>
      <c r="Q1245" s="59">
        <v>-31155</v>
      </c>
      <c r="U1245" s="60">
        <v>3</v>
      </c>
      <c r="V1245" s="51" t="str">
        <f t="shared" si="334"/>
        <v>Cowlitz Swift deliver</v>
      </c>
      <c r="W1245" s="64"/>
      <c r="X1245" s="64"/>
      <c r="Y1245" s="64"/>
      <c r="Z1245" s="64"/>
      <c r="AA1245" s="64"/>
      <c r="AB1245" s="64"/>
      <c r="AC1245" s="64"/>
      <c r="AD1245" s="64"/>
    </row>
    <row r="1246" spans="3:33">
      <c r="C1246" s="51" t="s">
        <v>543</v>
      </c>
      <c r="E1246" s="59">
        <f t="shared" si="336"/>
        <v>243063.86183290998</v>
      </c>
      <c r="F1246" s="59">
        <v>9973.6196469999995</v>
      </c>
      <c r="G1246" s="59">
        <v>19755.288661499999</v>
      </c>
      <c r="H1246" s="59">
        <v>19940.249847399999</v>
      </c>
      <c r="I1246" s="59">
        <v>10359.451187799999</v>
      </c>
      <c r="J1246" s="59">
        <v>9215.7907785499992</v>
      </c>
      <c r="K1246" s="59">
        <v>18804.105375200001</v>
      </c>
      <c r="L1246" s="59">
        <v>547.16210079999996</v>
      </c>
      <c r="M1246" s="59">
        <v>24134.674071559999</v>
      </c>
      <c r="N1246" s="59">
        <v>32337.728491000002</v>
      </c>
      <c r="O1246" s="59">
        <v>38101.235524000003</v>
      </c>
      <c r="P1246" s="59">
        <v>28853.1175621</v>
      </c>
      <c r="Q1246" s="59">
        <v>31041.438586</v>
      </c>
      <c r="U1246" s="61">
        <v>25</v>
      </c>
      <c r="V1246" s="51" t="s">
        <v>543</v>
      </c>
      <c r="W1246" s="64"/>
      <c r="X1246" s="64"/>
      <c r="Y1246" s="64"/>
      <c r="Z1246" s="64"/>
      <c r="AA1246" s="64"/>
      <c r="AB1246" s="64"/>
      <c r="AC1246" s="64"/>
      <c r="AD1246" s="64"/>
      <c r="AG1246" s="62" t="str">
        <f t="shared" ref="AG1246" si="338">IF(OR(ISNUMBER(U1246),ISNUMBER(W1246),ISNUMBER(Y1246),ISNUMBER(AA1246),ISNUMBER(AC1246)),"","Hide Row")</f>
        <v/>
      </c>
    </row>
    <row r="1247" spans="3:33">
      <c r="C1247" s="51" t="s">
        <v>404</v>
      </c>
      <c r="E1247" s="59">
        <f t="shared" si="336"/>
        <v>0</v>
      </c>
      <c r="F1247" s="59">
        <v>0</v>
      </c>
      <c r="G1247" s="59">
        <v>0</v>
      </c>
      <c r="H1247" s="59">
        <v>0</v>
      </c>
      <c r="I1247" s="59">
        <v>0</v>
      </c>
      <c r="J1247" s="59">
        <v>0</v>
      </c>
      <c r="K1247" s="59">
        <v>0</v>
      </c>
      <c r="L1247" s="59">
        <v>0</v>
      </c>
      <c r="M1247" s="59">
        <v>0</v>
      </c>
      <c r="N1247" s="59">
        <v>0</v>
      </c>
      <c r="O1247" s="59">
        <v>0</v>
      </c>
      <c r="P1247" s="59">
        <v>0</v>
      </c>
      <c r="Q1247" s="59">
        <v>0</v>
      </c>
      <c r="U1247" s="60" t="e">
        <v>#N/A</v>
      </c>
      <c r="V1247" s="51" t="str">
        <f t="shared" ref="V1247:V1261" si="339">V1200</f>
        <v>EWEB FC I Generation</v>
      </c>
      <c r="W1247" s="64"/>
      <c r="X1247" s="64"/>
      <c r="Y1247" s="64"/>
      <c r="Z1247" s="64"/>
      <c r="AA1247" s="64"/>
      <c r="AB1247" s="64"/>
      <c r="AC1247" s="64"/>
      <c r="AD1247" s="64"/>
    </row>
    <row r="1248" spans="3:33">
      <c r="C1248" s="51" t="s">
        <v>405</v>
      </c>
      <c r="E1248" s="59">
        <f t="shared" si="336"/>
        <v>0</v>
      </c>
      <c r="F1248" s="59">
        <v>0</v>
      </c>
      <c r="G1248" s="59">
        <v>0</v>
      </c>
      <c r="H1248" s="59">
        <v>0</v>
      </c>
      <c r="I1248" s="59">
        <v>0</v>
      </c>
      <c r="J1248" s="59">
        <v>0</v>
      </c>
      <c r="K1248" s="59">
        <v>0</v>
      </c>
      <c r="L1248" s="59">
        <v>0</v>
      </c>
      <c r="M1248" s="59">
        <v>0</v>
      </c>
      <c r="N1248" s="59">
        <v>0</v>
      </c>
      <c r="O1248" s="59">
        <v>0</v>
      </c>
      <c r="P1248" s="59">
        <v>0</v>
      </c>
      <c r="Q1248" s="59">
        <v>0</v>
      </c>
      <c r="U1248" s="60" t="e">
        <v>#N/A</v>
      </c>
      <c r="V1248" s="51" t="str">
        <f t="shared" si="339"/>
        <v>EWEB FC I delivery</v>
      </c>
      <c r="W1248" s="64"/>
      <c r="X1248" s="64"/>
      <c r="Y1248" s="64"/>
      <c r="Z1248" s="64"/>
      <c r="AA1248" s="64"/>
      <c r="AB1248" s="64"/>
      <c r="AC1248" s="64"/>
      <c r="AD1248" s="64"/>
    </row>
    <row r="1249" spans="3:30">
      <c r="C1249" s="51" t="s">
        <v>406</v>
      </c>
      <c r="E1249" s="59">
        <f t="shared" si="336"/>
        <v>0</v>
      </c>
      <c r="F1249" s="59">
        <v>0</v>
      </c>
      <c r="G1249" s="59">
        <v>0</v>
      </c>
      <c r="H1249" s="59">
        <v>0</v>
      </c>
      <c r="I1249" s="59">
        <v>0</v>
      </c>
      <c r="J1249" s="59">
        <v>0</v>
      </c>
      <c r="K1249" s="59">
        <v>0</v>
      </c>
      <c r="L1249" s="59">
        <v>0</v>
      </c>
      <c r="M1249" s="59">
        <v>0</v>
      </c>
      <c r="N1249" s="59">
        <v>0</v>
      </c>
      <c r="O1249" s="59">
        <v>0</v>
      </c>
      <c r="P1249" s="59">
        <v>0</v>
      </c>
      <c r="Q1249" s="59">
        <v>0</v>
      </c>
      <c r="U1249" s="60" t="e">
        <v>#N/A</v>
      </c>
      <c r="V1249" s="51" t="str">
        <f t="shared" si="339"/>
        <v>EWEB/BPA Wind Sale</v>
      </c>
      <c r="W1249" s="64"/>
      <c r="X1249" s="64"/>
      <c r="Y1249" s="64"/>
      <c r="Z1249" s="64"/>
      <c r="AA1249" s="64"/>
      <c r="AB1249" s="64"/>
      <c r="AC1249" s="64"/>
      <c r="AD1249" s="64"/>
    </row>
    <row r="1250" spans="3:30">
      <c r="C1250" s="51" t="s">
        <v>408</v>
      </c>
      <c r="E1250" s="59">
        <f t="shared" si="336"/>
        <v>0</v>
      </c>
      <c r="F1250" s="59">
        <v>0</v>
      </c>
      <c r="G1250" s="59">
        <v>0</v>
      </c>
      <c r="H1250" s="59">
        <v>0</v>
      </c>
      <c r="I1250" s="59">
        <v>0</v>
      </c>
      <c r="J1250" s="59">
        <v>0</v>
      </c>
      <c r="K1250" s="59">
        <v>0</v>
      </c>
      <c r="L1250" s="59">
        <v>0</v>
      </c>
      <c r="M1250" s="59">
        <v>0</v>
      </c>
      <c r="N1250" s="59">
        <v>0</v>
      </c>
      <c r="O1250" s="59">
        <v>0</v>
      </c>
      <c r="P1250" s="59">
        <v>0</v>
      </c>
      <c r="Q1250" s="59">
        <v>0</v>
      </c>
      <c r="U1250" s="60" t="e">
        <v>#N/A</v>
      </c>
      <c r="V1250" s="51" t="str">
        <f t="shared" si="339"/>
        <v>PSCo Exchange</v>
      </c>
      <c r="W1250" s="64"/>
      <c r="X1250" s="64"/>
      <c r="Y1250" s="64"/>
      <c r="Z1250" s="64"/>
      <c r="AA1250" s="64"/>
      <c r="AB1250" s="64"/>
      <c r="AC1250" s="64"/>
      <c r="AD1250" s="64"/>
    </row>
    <row r="1251" spans="3:30">
      <c r="C1251" s="51" t="s">
        <v>409</v>
      </c>
      <c r="E1251" s="59">
        <f t="shared" si="336"/>
        <v>0</v>
      </c>
      <c r="F1251" s="59">
        <v>0</v>
      </c>
      <c r="G1251" s="59">
        <v>0</v>
      </c>
      <c r="H1251" s="59">
        <v>0</v>
      </c>
      <c r="I1251" s="59">
        <v>0</v>
      </c>
      <c r="J1251" s="59">
        <v>0</v>
      </c>
      <c r="K1251" s="59">
        <v>0</v>
      </c>
      <c r="L1251" s="59">
        <v>0</v>
      </c>
      <c r="M1251" s="59">
        <v>0</v>
      </c>
      <c r="N1251" s="59">
        <v>0</v>
      </c>
      <c r="O1251" s="59">
        <v>0</v>
      </c>
      <c r="P1251" s="59">
        <v>0</v>
      </c>
      <c r="Q1251" s="59">
        <v>0</v>
      </c>
      <c r="U1251" s="60" t="e">
        <v>#N/A</v>
      </c>
      <c r="V1251" s="51" t="str">
        <f t="shared" si="339"/>
        <v>PSCo Exchange deliver</v>
      </c>
      <c r="W1251" s="64"/>
      <c r="X1251" s="64"/>
      <c r="Y1251" s="64"/>
      <c r="Z1251" s="64"/>
      <c r="AA1251" s="64"/>
      <c r="AB1251" s="64"/>
      <c r="AC1251" s="64"/>
      <c r="AD1251" s="64"/>
    </row>
    <row r="1252" spans="3:30">
      <c r="C1252" s="51" t="s">
        <v>411</v>
      </c>
      <c r="E1252" s="59">
        <f t="shared" si="336"/>
        <v>0</v>
      </c>
      <c r="F1252" s="59">
        <v>0</v>
      </c>
      <c r="G1252" s="59">
        <v>0</v>
      </c>
      <c r="H1252" s="59">
        <v>0</v>
      </c>
      <c r="I1252" s="59">
        <v>0</v>
      </c>
      <c r="J1252" s="59">
        <v>0</v>
      </c>
      <c r="K1252" s="59">
        <v>0</v>
      </c>
      <c r="L1252" s="59">
        <v>0</v>
      </c>
      <c r="M1252" s="59">
        <v>0</v>
      </c>
      <c r="N1252" s="59">
        <v>0</v>
      </c>
      <c r="O1252" s="59">
        <v>0</v>
      </c>
      <c r="P1252" s="59">
        <v>0</v>
      </c>
      <c r="Q1252" s="59">
        <v>0</v>
      </c>
      <c r="U1252" s="60" t="e">
        <v>#N/A</v>
      </c>
      <c r="V1252" s="51" t="str">
        <f t="shared" si="339"/>
        <v>PSCo FC III Generation</v>
      </c>
      <c r="W1252" s="64"/>
      <c r="X1252" s="64"/>
      <c r="Y1252" s="64"/>
      <c r="Z1252" s="64"/>
      <c r="AA1252" s="64"/>
      <c r="AB1252" s="64"/>
      <c r="AC1252" s="64"/>
      <c r="AD1252" s="64"/>
    </row>
    <row r="1253" spans="3:30">
      <c r="C1253" s="51" t="s">
        <v>412</v>
      </c>
      <c r="E1253" s="59">
        <f t="shared" si="336"/>
        <v>0</v>
      </c>
      <c r="F1253" s="59">
        <v>0</v>
      </c>
      <c r="G1253" s="59">
        <v>0</v>
      </c>
      <c r="H1253" s="59">
        <v>0</v>
      </c>
      <c r="I1253" s="59">
        <v>0</v>
      </c>
      <c r="J1253" s="59">
        <v>0</v>
      </c>
      <c r="K1253" s="59">
        <v>0</v>
      </c>
      <c r="L1253" s="59">
        <v>0</v>
      </c>
      <c r="M1253" s="59">
        <v>0</v>
      </c>
      <c r="N1253" s="59">
        <v>0</v>
      </c>
      <c r="O1253" s="59">
        <v>0</v>
      </c>
      <c r="P1253" s="59">
        <v>0</v>
      </c>
      <c r="Q1253" s="59">
        <v>0</v>
      </c>
      <c r="U1253" s="60" t="e">
        <v>#N/A</v>
      </c>
      <c r="V1253" s="51" t="str">
        <f t="shared" si="339"/>
        <v>PSCo FC III delivery</v>
      </c>
      <c r="W1253" s="64"/>
      <c r="X1253" s="64"/>
      <c r="Y1253" s="64"/>
      <c r="Z1253" s="64"/>
      <c r="AA1253" s="64"/>
      <c r="AB1253" s="64"/>
      <c r="AC1253" s="64"/>
      <c r="AD1253" s="64"/>
    </row>
    <row r="1254" spans="3:30">
      <c r="C1254" s="51" t="s">
        <v>414</v>
      </c>
      <c r="E1254" s="59">
        <f t="shared" si="336"/>
        <v>0</v>
      </c>
      <c r="F1254" s="59">
        <v>0</v>
      </c>
      <c r="G1254" s="59">
        <v>0</v>
      </c>
      <c r="H1254" s="59">
        <v>0</v>
      </c>
      <c r="I1254" s="59">
        <v>0</v>
      </c>
      <c r="J1254" s="59">
        <v>0</v>
      </c>
      <c r="K1254" s="59">
        <v>0</v>
      </c>
      <c r="L1254" s="59">
        <v>0</v>
      </c>
      <c r="M1254" s="59">
        <v>0</v>
      </c>
      <c r="N1254" s="59">
        <v>0</v>
      </c>
      <c r="O1254" s="59">
        <v>0</v>
      </c>
      <c r="P1254" s="59">
        <v>0</v>
      </c>
      <c r="Q1254" s="59">
        <v>0</v>
      </c>
      <c r="U1254" s="60" t="e">
        <v>#N/A</v>
      </c>
      <c r="V1254" s="51" t="str">
        <f t="shared" si="339"/>
        <v>REDDING EXCHANGE IN</v>
      </c>
      <c r="W1254" s="64"/>
      <c r="X1254" s="64"/>
      <c r="Y1254" s="64"/>
      <c r="Z1254" s="64"/>
      <c r="AA1254" s="64"/>
      <c r="AB1254" s="64"/>
      <c r="AC1254" s="64"/>
      <c r="AD1254" s="64"/>
    </row>
    <row r="1255" spans="3:30">
      <c r="C1255" s="51" t="s">
        <v>415</v>
      </c>
      <c r="E1255" s="59">
        <f t="shared" si="336"/>
        <v>0</v>
      </c>
      <c r="F1255" s="59">
        <v>0</v>
      </c>
      <c r="G1255" s="59">
        <v>0</v>
      </c>
      <c r="H1255" s="59">
        <v>0</v>
      </c>
      <c r="I1255" s="59">
        <v>0</v>
      </c>
      <c r="J1255" s="59">
        <v>0</v>
      </c>
      <c r="K1255" s="59">
        <v>0</v>
      </c>
      <c r="L1255" s="59">
        <v>0</v>
      </c>
      <c r="M1255" s="59">
        <v>0</v>
      </c>
      <c r="N1255" s="59">
        <v>0</v>
      </c>
      <c r="O1255" s="59">
        <v>0</v>
      </c>
      <c r="P1255" s="59">
        <v>0</v>
      </c>
      <c r="Q1255" s="59">
        <v>0</v>
      </c>
      <c r="U1255" s="60" t="e">
        <v>#N/A</v>
      </c>
      <c r="V1255" s="51" t="str">
        <f t="shared" si="339"/>
        <v>REDDING EXCHANGE OUT</v>
      </c>
      <c r="W1255" s="64"/>
      <c r="X1255" s="64"/>
      <c r="Y1255" s="64"/>
      <c r="Z1255" s="64"/>
      <c r="AA1255" s="64"/>
      <c r="AB1255" s="64"/>
      <c r="AC1255" s="64"/>
      <c r="AD1255" s="64"/>
    </row>
    <row r="1256" spans="3:30">
      <c r="C1256" s="51" t="s">
        <v>417</v>
      </c>
      <c r="E1256" s="59">
        <f t="shared" si="336"/>
        <v>377597.80173819594</v>
      </c>
      <c r="F1256" s="59">
        <v>31948.09278725</v>
      </c>
      <c r="G1256" s="59">
        <v>33785.507174999999</v>
      </c>
      <c r="H1256" s="59">
        <v>35844.533534000002</v>
      </c>
      <c r="I1256" s="59">
        <v>30377.145925590001</v>
      </c>
      <c r="J1256" s="59">
        <v>28241.013795710001</v>
      </c>
      <c r="K1256" s="59">
        <v>26099.058893000001</v>
      </c>
      <c r="L1256" s="59">
        <v>28579.777245720001</v>
      </c>
      <c r="M1256" s="59">
        <v>33040.163206099998</v>
      </c>
      <c r="N1256" s="59">
        <v>27836.471854740001</v>
      </c>
      <c r="O1256" s="59">
        <v>33761.464212810999</v>
      </c>
      <c r="P1256" s="59">
        <v>23251.639124500001</v>
      </c>
      <c r="Q1256" s="59">
        <v>44832.933983775001</v>
      </c>
      <c r="U1256" s="60">
        <v>22</v>
      </c>
      <c r="V1256" s="51" t="str">
        <f t="shared" si="339"/>
        <v>SCL State Line generation</v>
      </c>
      <c r="W1256" s="64"/>
      <c r="X1256" s="64"/>
      <c r="Y1256" s="64"/>
      <c r="Z1256" s="64"/>
      <c r="AA1256" s="64"/>
      <c r="AB1256" s="64"/>
      <c r="AC1256" s="64"/>
      <c r="AD1256" s="64"/>
    </row>
    <row r="1257" spans="3:30">
      <c r="C1257" s="51" t="s">
        <v>418</v>
      </c>
      <c r="E1257" s="59">
        <f t="shared" si="336"/>
        <v>-215801.76355200002</v>
      </c>
      <c r="F1257" s="59">
        <v>-13653.061439999999</v>
      </c>
      <c r="G1257" s="59">
        <v>-26906.450496000001</v>
      </c>
      <c r="H1257" s="59">
        <v>-18141.20016</v>
      </c>
      <c r="I1257" s="59">
        <v>-18811.244416000001</v>
      </c>
      <c r="J1257" s="59">
        <v>-19025.8904</v>
      </c>
      <c r="K1257" s="59">
        <v>-14986.512000000001</v>
      </c>
      <c r="L1257" s="59">
        <v>-13972.103247999999</v>
      </c>
      <c r="M1257" s="59">
        <v>-14525.083199999999</v>
      </c>
      <c r="N1257" s="59">
        <v>-16821.039951999999</v>
      </c>
      <c r="O1257" s="59">
        <v>-20303.841840000001</v>
      </c>
      <c r="P1257" s="59">
        <v>-17766.721472000001</v>
      </c>
      <c r="Q1257" s="59">
        <v>-20888.614927999999</v>
      </c>
      <c r="U1257" s="60">
        <v>20</v>
      </c>
      <c r="V1257" s="51" t="str">
        <f t="shared" si="339"/>
        <v>SCL State Line delivery</v>
      </c>
      <c r="W1257" s="64"/>
      <c r="X1257" s="64"/>
      <c r="Y1257" s="64"/>
      <c r="Z1257" s="64"/>
      <c r="AA1257" s="64"/>
      <c r="AB1257" s="64"/>
      <c r="AC1257" s="64"/>
      <c r="AD1257" s="64"/>
    </row>
    <row r="1258" spans="3:30">
      <c r="C1258" s="51" t="s">
        <v>419</v>
      </c>
      <c r="E1258" s="59">
        <f t="shared" si="336"/>
        <v>0</v>
      </c>
      <c r="F1258" s="59">
        <v>0</v>
      </c>
      <c r="G1258" s="59">
        <v>0</v>
      </c>
      <c r="H1258" s="59">
        <v>0</v>
      </c>
      <c r="I1258" s="59">
        <v>0</v>
      </c>
      <c r="J1258" s="59">
        <v>0</v>
      </c>
      <c r="K1258" s="59">
        <v>0</v>
      </c>
      <c r="L1258" s="59">
        <v>0</v>
      </c>
      <c r="M1258" s="59">
        <v>0</v>
      </c>
      <c r="N1258" s="59">
        <v>0</v>
      </c>
      <c r="O1258" s="59">
        <v>0</v>
      </c>
      <c r="P1258" s="59">
        <v>0</v>
      </c>
      <c r="Q1258" s="59">
        <v>0</v>
      </c>
      <c r="U1258" s="60">
        <v>23</v>
      </c>
      <c r="V1258" s="51" t="str">
        <f t="shared" si="339"/>
        <v>SCL State Line reserves</v>
      </c>
      <c r="W1258" s="64"/>
      <c r="X1258" s="64"/>
      <c r="Y1258" s="64"/>
      <c r="Z1258" s="64"/>
      <c r="AA1258" s="64"/>
      <c r="AB1258" s="64"/>
      <c r="AC1258" s="64"/>
      <c r="AD1258" s="64"/>
    </row>
    <row r="1259" spans="3:30">
      <c r="C1259" s="51" t="s">
        <v>420</v>
      </c>
      <c r="E1259" s="59">
        <f t="shared" si="336"/>
        <v>-144942.759448</v>
      </c>
      <c r="F1259" s="59">
        <v>-7840.4332800000002</v>
      </c>
      <c r="G1259" s="59">
        <v>-16016.601360000001</v>
      </c>
      <c r="H1259" s="59">
        <v>-12445.90488</v>
      </c>
      <c r="I1259" s="59">
        <v>-13535.002256</v>
      </c>
      <c r="J1259" s="59">
        <v>-15291.666608</v>
      </c>
      <c r="K1259" s="59">
        <v>-14096.567999999999</v>
      </c>
      <c r="L1259" s="59">
        <v>-13065.843543999999</v>
      </c>
      <c r="M1259" s="59">
        <v>-10462.157520000001</v>
      </c>
      <c r="N1259" s="59">
        <v>-10541.238264</v>
      </c>
      <c r="O1259" s="59">
        <v>-11328.813599999999</v>
      </c>
      <c r="P1259" s="59">
        <v>-8883.9179999999997</v>
      </c>
      <c r="Q1259" s="59">
        <v>-11434.612136</v>
      </c>
      <c r="U1259" s="60">
        <v>21</v>
      </c>
      <c r="V1259" s="51" t="str">
        <f t="shared" si="339"/>
        <v>SCL State Line Delivery LLH</v>
      </c>
      <c r="W1259" s="64"/>
      <c r="X1259" s="64"/>
      <c r="Y1259" s="64"/>
      <c r="Z1259" s="64"/>
      <c r="AA1259" s="64"/>
      <c r="AB1259" s="64"/>
      <c r="AC1259" s="64"/>
      <c r="AD1259" s="64"/>
    </row>
    <row r="1260" spans="3:30">
      <c r="C1260" s="51" t="s">
        <v>422</v>
      </c>
      <c r="E1260" s="59">
        <f t="shared" si="336"/>
        <v>0</v>
      </c>
      <c r="F1260" s="59">
        <v>0</v>
      </c>
      <c r="G1260" s="59">
        <v>0</v>
      </c>
      <c r="H1260" s="59">
        <v>0</v>
      </c>
      <c r="I1260" s="59">
        <v>0</v>
      </c>
      <c r="J1260" s="59">
        <v>0</v>
      </c>
      <c r="K1260" s="59">
        <v>0</v>
      </c>
      <c r="L1260" s="59">
        <v>0</v>
      </c>
      <c r="M1260" s="59">
        <v>0</v>
      </c>
      <c r="N1260" s="59">
        <v>0</v>
      </c>
      <c r="O1260" s="59">
        <v>0</v>
      </c>
      <c r="P1260" s="59">
        <v>0</v>
      </c>
      <c r="Q1260" s="59">
        <v>0</v>
      </c>
      <c r="U1260" s="60" t="e">
        <v>#N/A</v>
      </c>
      <c r="V1260" s="51" t="str">
        <f t="shared" si="339"/>
        <v>Shell p489963</v>
      </c>
      <c r="W1260" s="64"/>
      <c r="X1260" s="64"/>
      <c r="Y1260" s="64"/>
      <c r="Z1260" s="64"/>
      <c r="AA1260" s="64"/>
      <c r="AB1260" s="64"/>
      <c r="AC1260" s="64"/>
      <c r="AD1260" s="64"/>
    </row>
    <row r="1261" spans="3:30">
      <c r="C1261" s="51" t="s">
        <v>423</v>
      </c>
      <c r="E1261" s="59">
        <f t="shared" si="336"/>
        <v>0</v>
      </c>
      <c r="F1261" s="59">
        <v>0</v>
      </c>
      <c r="G1261" s="59">
        <v>0</v>
      </c>
      <c r="H1261" s="59">
        <v>0</v>
      </c>
      <c r="I1261" s="59">
        <v>0</v>
      </c>
      <c r="J1261" s="59">
        <v>0</v>
      </c>
      <c r="K1261" s="59">
        <v>0</v>
      </c>
      <c r="L1261" s="59">
        <v>0</v>
      </c>
      <c r="M1261" s="59">
        <v>0</v>
      </c>
      <c r="N1261" s="59">
        <v>0</v>
      </c>
      <c r="O1261" s="59">
        <v>0</v>
      </c>
      <c r="P1261" s="59">
        <v>0</v>
      </c>
      <c r="Q1261" s="59">
        <v>0</v>
      </c>
      <c r="U1261" s="60" t="e">
        <v>#N/A</v>
      </c>
      <c r="V1261" s="51" t="str">
        <f t="shared" si="339"/>
        <v>Shell s489962</v>
      </c>
      <c r="W1261" s="64"/>
      <c r="X1261" s="64"/>
      <c r="Y1261" s="64"/>
      <c r="Z1261" s="64"/>
      <c r="AA1261" s="64"/>
      <c r="AB1261" s="64"/>
      <c r="AC1261" s="64"/>
      <c r="AD1261" s="64"/>
    </row>
    <row r="1262" spans="3:30">
      <c r="W1262" s="64"/>
      <c r="X1262" s="64"/>
      <c r="Y1262" s="64"/>
      <c r="Z1262" s="64"/>
      <c r="AA1262" s="64"/>
      <c r="AB1262" s="64"/>
      <c r="AC1262" s="64"/>
      <c r="AD1262" s="64"/>
    </row>
    <row r="1263" spans="3:30">
      <c r="W1263" s="64"/>
      <c r="X1263" s="64"/>
      <c r="Y1263" s="64"/>
      <c r="Z1263" s="64"/>
      <c r="AA1263" s="64"/>
      <c r="AB1263" s="64"/>
      <c r="AC1263" s="64"/>
      <c r="AD1263" s="64"/>
    </row>
    <row r="1264" spans="3:30">
      <c r="W1264" s="64"/>
      <c r="X1264" s="64"/>
      <c r="Y1264" s="64"/>
      <c r="Z1264" s="64"/>
      <c r="AA1264" s="64"/>
      <c r="AB1264" s="64"/>
      <c r="AC1264" s="64"/>
      <c r="AD1264" s="64"/>
    </row>
  </sheetData>
  <conditionalFormatting sqref="U874:U875">
    <cfRule type="cellIs" dxfId="2" priority="1" operator="equal">
      <formula>0</formula>
    </cfRule>
    <cfRule type="cellIs" dxfId="1" priority="2" operator="equal">
      <formula>1</formula>
    </cfRule>
  </conditionalFormatting>
  <conditionalFormatting sqref="V150:V152 C151:C152">
    <cfRule type="expression" dxfId="0" priority="3" stopIfTrue="1">
      <formula>ISNUMBER(MATCH($R150,$R$1:$R$212,FALSE))</formula>
    </cfRule>
  </conditionalFormatting>
  <printOptions horizontalCentered="1"/>
  <pageMargins left="0.3" right="0.3" top="0.8" bottom="0.4" header="0.5" footer="0.2"/>
  <pageSetup paperSize="9" scale="59" fitToHeight="0" orientation="landscape" r:id="rId1"/>
  <headerFooter alignWithMargins="0"/>
  <rowBreaks count="16" manualBreakCount="16">
    <brk id="68" max="16383" man="1"/>
    <brk id="123" max="16" man="1"/>
    <brk id="181" max="16" man="1"/>
    <brk id="241" max="16383" man="1"/>
    <brk id="316" max="16383" man="1"/>
    <brk id="398" max="16" man="1"/>
    <brk id="453" max="16" man="1"/>
    <brk id="511" max="29" man="1"/>
    <brk id="570" max="16383" man="1"/>
    <brk id="639" max="16383" man="1"/>
    <brk id="726" max="16" man="1"/>
    <brk id="801" max="16" man="1"/>
    <brk id="873" max="16383" man="1"/>
    <brk id="936" max="16" man="1"/>
    <brk id="991" max="16" man="1"/>
    <brk id="1083" max="16" man="1"/>
  </rowBreaks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2014-05-01T07:00:00+00:00</OpenedDate>
    <Date1 xmlns="dc463f71-b30c-4ab2-9473-d307f9d35888">2015-03-30T07:00:00+00:00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6528576-544B-4008-92DC-34D6038743AB}"/>
</file>

<file path=customXml/itemProps2.xml><?xml version="1.0" encoding="utf-8"?>
<ds:datastoreItem xmlns:ds="http://schemas.openxmlformats.org/officeDocument/2006/customXml" ds:itemID="{238A6E57-86D1-4BD5-B868-09381FD361EB}"/>
</file>

<file path=customXml/itemProps3.xml><?xml version="1.0" encoding="utf-8"?>
<ds:datastoreItem xmlns:ds="http://schemas.openxmlformats.org/officeDocument/2006/customXml" ds:itemID="{07F66C25-102D-427A-91BD-A90F5E001283}"/>
</file>

<file path=customXml/itemProps4.xml><?xml version="1.0" encoding="utf-8"?>
<ds:datastoreItem xmlns:ds="http://schemas.openxmlformats.org/officeDocument/2006/customXml" ds:itemID="{01BA1B36-E370-4B28-BDC2-029C014A1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WA GRC - Final NPC Alloc.</vt:lpstr>
      <vt:lpstr>PrePost</vt:lpstr>
      <vt:lpstr>GRID - NPC</vt:lpstr>
      <vt:lpstr>AverageFuelCost</vt:lpstr>
      <vt:lpstr>Burn</vt:lpstr>
      <vt:lpstr>Cost</vt:lpstr>
      <vt:lpstr>DataCheck_NPC</vt:lpstr>
      <vt:lpstr>ECDQF_Exp</vt:lpstr>
      <vt:lpstr>ECDQF_MWh</vt:lpstr>
      <vt:lpstr>Factor</vt:lpstr>
      <vt:lpstr>Mill</vt:lpstr>
      <vt:lpstr>MMBtu</vt:lpstr>
      <vt:lpstr>Months</vt:lpstr>
      <vt:lpstr>MWh</vt:lpstr>
      <vt:lpstr>NameAverageFuelCost</vt:lpstr>
      <vt:lpstr>NameBurn</vt:lpstr>
      <vt:lpstr>NameCost</vt:lpstr>
      <vt:lpstr>NameECDQF_Exp</vt:lpstr>
      <vt:lpstr>NameECDQF_MWh</vt:lpstr>
      <vt:lpstr>NameFactor</vt:lpstr>
      <vt:lpstr>NameMill</vt:lpstr>
      <vt:lpstr>NameMMBtu</vt:lpstr>
      <vt:lpstr>NameMWh</vt:lpstr>
      <vt:lpstr>NamePeak</vt:lpstr>
      <vt:lpstr>Peak</vt:lpstr>
      <vt:lpstr>'GRID - NPC'!Print_Area</vt:lpstr>
      <vt:lpstr>PrePost!Print_Area</vt:lpstr>
      <vt:lpstr>'GRID - NPC'!Print_Titles</vt:lpstr>
      <vt:lpstr>PrePost!Print_Titles</vt:lpstr>
      <vt:lpstr>StartMWh</vt:lpstr>
      <vt:lpstr>StartTheMill</vt:lpstr>
      <vt:lpstr>StartTheRack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Cheung, Sherona</cp:lastModifiedBy>
  <cp:lastPrinted>2015-03-27T00:02:33Z</cp:lastPrinted>
  <dcterms:created xsi:type="dcterms:W3CDTF">2014-11-13T19:00:51Z</dcterms:created>
  <dcterms:modified xsi:type="dcterms:W3CDTF">2015-03-27T00:05:41Z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