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2017\2017 WA Cost of Service Collaborative\12.6.19 Comments on Templates\"/>
    </mc:Choice>
  </mc:AlternateContent>
  <bookViews>
    <workbookView xWindow="5580" yWindow="0" windowWidth="27870" windowHeight="14310" activeTab="3"/>
  </bookViews>
  <sheets>
    <sheet name="Cover" sheetId="1" r:id="rId1"/>
    <sheet name="A - Company RR" sheetId="7" r:id="rId2"/>
    <sheet name="B - RR Cross-reference " sheetId="2" r:id="rId3"/>
    <sheet name="C-COS results" sheetId="4" r:id="rId4"/>
    <sheet name="D-COS allocation factors" sheetId="5" r:id="rId5"/>
    <sheet name="E-COS parity ratios" sheetId="6" r:id="rId6"/>
  </sheets>
  <definedNames>
    <definedName name="_xlnm.Print_Area" localSheetId="3">'C-COS results'!$A$1:$I$302</definedName>
    <definedName name="_xlnm.Print_Area" localSheetId="0">Cover!$A$1:$J$40</definedName>
    <definedName name="_xlnm.Print_Titles" localSheetId="2">'B - RR Cross-reference '!$2:$2</definedName>
    <definedName name="_xlnm.Print_Titles" localSheetId="3">'C-COS results'!$2:$2</definedName>
  </definedName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2" l="1"/>
  <c r="I3" i="2"/>
  <c r="B20" i="6" l="1"/>
  <c r="F27" i="6"/>
  <c r="L4" i="2"/>
  <c r="F18" i="6" l="1"/>
  <c r="C8" i="6"/>
  <c r="C20" i="6" s="1"/>
  <c r="D8" i="6"/>
  <c r="D20" i="6" s="1"/>
  <c r="E8" i="6"/>
  <c r="E20" i="6" s="1"/>
  <c r="B8" i="6"/>
  <c r="F20" i="6" l="1"/>
  <c r="F8" i="6"/>
  <c r="C4" i="6" l="1"/>
  <c r="D4" i="6"/>
  <c r="E4" i="6"/>
  <c r="B4" i="6"/>
  <c r="F4" i="6" l="1"/>
  <c r="F5" i="6" s="1"/>
  <c r="E293" i="4"/>
  <c r="E294" i="4"/>
  <c r="E297" i="4"/>
  <c r="E276" i="4"/>
  <c r="E269" i="4"/>
  <c r="E267" i="4"/>
  <c r="H269" i="4"/>
  <c r="G269" i="4"/>
  <c r="F269" i="4"/>
  <c r="F267" i="4" s="1"/>
  <c r="H267" i="4"/>
  <c r="G267" i="4"/>
  <c r="I177" i="4"/>
  <c r="I178" i="4"/>
  <c r="H158" i="4" l="1"/>
  <c r="G158" i="4"/>
  <c r="F158" i="4"/>
  <c r="E158" i="4"/>
  <c r="F135" i="4" l="1"/>
  <c r="E135" i="4"/>
  <c r="H162" i="4"/>
  <c r="G162" i="4"/>
  <c r="F162" i="4"/>
  <c r="F136" i="4"/>
  <c r="E136" i="4"/>
  <c r="E155" i="4"/>
  <c r="I155" i="4" s="1"/>
  <c r="I156" i="4" s="1"/>
  <c r="H146" i="4"/>
  <c r="G146" i="4"/>
  <c r="F146" i="4"/>
  <c r="F154" i="4" s="1"/>
  <c r="E146" i="4"/>
  <c r="I300" i="4"/>
  <c r="I301" i="4" s="1"/>
  <c r="I297" i="4"/>
  <c r="I296" i="4"/>
  <c r="I295" i="4"/>
  <c r="I294" i="4"/>
  <c r="I293" i="4"/>
  <c r="I292" i="4"/>
  <c r="I291" i="4"/>
  <c r="I288" i="4"/>
  <c r="I289" i="4" s="1"/>
  <c r="I290" i="4" s="1"/>
  <c r="I285" i="4"/>
  <c r="I284" i="4"/>
  <c r="I283" i="4"/>
  <c r="I282" i="4"/>
  <c r="I281" i="4"/>
  <c r="I278" i="4"/>
  <c r="I277" i="4"/>
  <c r="I276" i="4"/>
  <c r="I279" i="4" s="1"/>
  <c r="I280" i="4" s="1"/>
  <c r="I273" i="4"/>
  <c r="I274" i="4" s="1"/>
  <c r="I275" i="4" s="1"/>
  <c r="I270" i="4"/>
  <c r="I269" i="4"/>
  <c r="I268" i="4"/>
  <c r="I267" i="4"/>
  <c r="I265" i="4"/>
  <c r="I266" i="4" s="1"/>
  <c r="I263" i="4"/>
  <c r="I264" i="4" s="1"/>
  <c r="I261" i="4"/>
  <c r="I260" i="4"/>
  <c r="I259" i="4"/>
  <c r="I258" i="4"/>
  <c r="I257" i="4"/>
  <c r="I255" i="4"/>
  <c r="I254" i="4"/>
  <c r="I253" i="4"/>
  <c r="I252" i="4"/>
  <c r="I251" i="4"/>
  <c r="I249" i="4"/>
  <c r="I248" i="4"/>
  <c r="I247" i="4"/>
  <c r="I246" i="4"/>
  <c r="I245" i="4"/>
  <c r="I243" i="4"/>
  <c r="I244" i="4" s="1"/>
  <c r="I241" i="4"/>
  <c r="I242" i="4" s="1"/>
  <c r="I240" i="4"/>
  <c r="I239" i="4"/>
  <c r="I238" i="4"/>
  <c r="I237" i="4"/>
  <c r="I235" i="4"/>
  <c r="I234" i="4"/>
  <c r="I233" i="4"/>
  <c r="I232" i="4"/>
  <c r="I231" i="4"/>
  <c r="I229" i="4"/>
  <c r="I228" i="4"/>
  <c r="I227" i="4"/>
  <c r="I226" i="4"/>
  <c r="I225" i="4"/>
  <c r="I222" i="4"/>
  <c r="I221" i="4"/>
  <c r="I220" i="4"/>
  <c r="I219" i="4"/>
  <c r="I218" i="4"/>
  <c r="I217" i="4"/>
  <c r="I216" i="4"/>
  <c r="I215" i="4"/>
  <c r="I214" i="4"/>
  <c r="I213" i="4"/>
  <c r="I212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5" i="4"/>
  <c r="I194" i="4"/>
  <c r="I193" i="4"/>
  <c r="I192" i="4"/>
  <c r="I191" i="4"/>
  <c r="I190" i="4"/>
  <c r="I189" i="4"/>
  <c r="I188" i="4"/>
  <c r="I196" i="4" s="1"/>
  <c r="I186" i="4"/>
  <c r="I185" i="4"/>
  <c r="I184" i="4"/>
  <c r="I183" i="4"/>
  <c r="I182" i="4"/>
  <c r="I181" i="4"/>
  <c r="I180" i="4"/>
  <c r="I179" i="4"/>
  <c r="I176" i="4"/>
  <c r="I175" i="4"/>
  <c r="I173" i="4"/>
  <c r="I172" i="4"/>
  <c r="I171" i="4"/>
  <c r="I170" i="4"/>
  <c r="I169" i="4"/>
  <c r="I165" i="4"/>
  <c r="I163" i="4"/>
  <c r="I164" i="4" s="1"/>
  <c r="I161" i="4"/>
  <c r="I160" i="4"/>
  <c r="I159" i="4"/>
  <c r="I157" i="4"/>
  <c r="I153" i="4"/>
  <c r="I152" i="4"/>
  <c r="I151" i="4"/>
  <c r="I150" i="4"/>
  <c r="I149" i="4"/>
  <c r="I148" i="4"/>
  <c r="I147" i="4"/>
  <c r="I144" i="4"/>
  <c r="I143" i="4"/>
  <c r="I142" i="4"/>
  <c r="I141" i="4"/>
  <c r="I140" i="4"/>
  <c r="I139" i="4"/>
  <c r="I138" i="4"/>
  <c r="I133" i="4"/>
  <c r="I134" i="4" s="1"/>
  <c r="I131" i="4"/>
  <c r="I132" i="4" s="1"/>
  <c r="I128" i="4"/>
  <c r="I127" i="4"/>
  <c r="I126" i="4"/>
  <c r="I125" i="4"/>
  <c r="I124" i="4"/>
  <c r="I123" i="4"/>
  <c r="I122" i="4"/>
  <c r="I121" i="4"/>
  <c r="I120" i="4"/>
  <c r="I119" i="4"/>
  <c r="I117" i="4"/>
  <c r="I116" i="4"/>
  <c r="I115" i="4"/>
  <c r="I114" i="4"/>
  <c r="I113" i="4"/>
  <c r="I112" i="4"/>
  <c r="I111" i="4"/>
  <c r="I110" i="4"/>
  <c r="I109" i="4"/>
  <c r="I108" i="4"/>
  <c r="I107" i="4"/>
  <c r="I104" i="4"/>
  <c r="I103" i="4"/>
  <c r="I102" i="4"/>
  <c r="I101" i="4"/>
  <c r="I100" i="4"/>
  <c r="I99" i="4"/>
  <c r="I98" i="4"/>
  <c r="I97" i="4"/>
  <c r="I95" i="4"/>
  <c r="I94" i="4"/>
  <c r="I93" i="4"/>
  <c r="I92" i="4"/>
  <c r="I91" i="4"/>
  <c r="I90" i="4"/>
  <c r="I89" i="4"/>
  <c r="I88" i="4"/>
  <c r="I87" i="4"/>
  <c r="I86" i="4"/>
  <c r="I85" i="4"/>
  <c r="I82" i="4"/>
  <c r="I81" i="4"/>
  <c r="I80" i="4"/>
  <c r="I79" i="4"/>
  <c r="I78" i="4"/>
  <c r="I77" i="4"/>
  <c r="I76" i="4"/>
  <c r="I75" i="4"/>
  <c r="I74" i="4"/>
  <c r="I72" i="4"/>
  <c r="I71" i="4"/>
  <c r="I70" i="4"/>
  <c r="I69" i="4"/>
  <c r="I68" i="4"/>
  <c r="I67" i="4"/>
  <c r="I65" i="4"/>
  <c r="I64" i="4"/>
  <c r="I63" i="4"/>
  <c r="I62" i="4"/>
  <c r="I61" i="4"/>
  <c r="I60" i="4"/>
  <c r="I59" i="4"/>
  <c r="I58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1" i="4"/>
  <c r="I20" i="4"/>
  <c r="I19" i="4"/>
  <c r="I18" i="4"/>
  <c r="I16" i="4"/>
  <c r="I17" i="4"/>
  <c r="I14" i="4"/>
  <c r="I13" i="4"/>
  <c r="I12" i="4"/>
  <c r="I10" i="4"/>
  <c r="I4" i="4"/>
  <c r="I9" i="4" s="1"/>
  <c r="I5" i="4"/>
  <c r="I6" i="4"/>
  <c r="I7" i="4"/>
  <c r="I8" i="4"/>
  <c r="I3" i="4"/>
  <c r="I166" i="4"/>
  <c r="H301" i="4"/>
  <c r="G301" i="4"/>
  <c r="F301" i="4"/>
  <c r="E301" i="4"/>
  <c r="F299" i="4"/>
  <c r="H298" i="4"/>
  <c r="H299" i="4" s="1"/>
  <c r="G298" i="4"/>
  <c r="G299" i="4" s="1"/>
  <c r="F298" i="4"/>
  <c r="E298" i="4"/>
  <c r="E299" i="4" s="1"/>
  <c r="H290" i="4"/>
  <c r="H289" i="4"/>
  <c r="G289" i="4"/>
  <c r="G290" i="4" s="1"/>
  <c r="F289" i="4"/>
  <c r="F290" i="4" s="1"/>
  <c r="E289" i="4"/>
  <c r="E290" i="4" s="1"/>
  <c r="G287" i="4"/>
  <c r="F287" i="4"/>
  <c r="E287" i="4"/>
  <c r="H286" i="4"/>
  <c r="H287" i="4" s="1"/>
  <c r="G286" i="4"/>
  <c r="F286" i="4"/>
  <c r="E286" i="4"/>
  <c r="G280" i="4"/>
  <c r="F280" i="4"/>
  <c r="H279" i="4"/>
  <c r="H280" i="4" s="1"/>
  <c r="G279" i="4"/>
  <c r="F279" i="4"/>
  <c r="E279" i="4"/>
  <c r="E280" i="4" s="1"/>
  <c r="F275" i="4"/>
  <c r="E275" i="4"/>
  <c r="H274" i="4"/>
  <c r="H275" i="4" s="1"/>
  <c r="G274" i="4"/>
  <c r="G275" i="4" s="1"/>
  <c r="F274" i="4"/>
  <c r="E274" i="4"/>
  <c r="H271" i="4"/>
  <c r="G271" i="4"/>
  <c r="F271" i="4"/>
  <c r="E271" i="4"/>
  <c r="H266" i="4"/>
  <c r="G266" i="4"/>
  <c r="F266" i="4"/>
  <c r="E266" i="4"/>
  <c r="H264" i="4"/>
  <c r="G264" i="4"/>
  <c r="F264" i="4"/>
  <c r="E264" i="4"/>
  <c r="H262" i="4"/>
  <c r="G262" i="4"/>
  <c r="F262" i="4"/>
  <c r="E262" i="4"/>
  <c r="H256" i="4"/>
  <c r="G256" i="4"/>
  <c r="F256" i="4"/>
  <c r="E256" i="4"/>
  <c r="H250" i="4"/>
  <c r="G250" i="4"/>
  <c r="F250" i="4"/>
  <c r="E250" i="4"/>
  <c r="H244" i="4"/>
  <c r="G244" i="4"/>
  <c r="F244" i="4"/>
  <c r="E244" i="4"/>
  <c r="H242" i="4"/>
  <c r="G242" i="4"/>
  <c r="F242" i="4"/>
  <c r="E242" i="4"/>
  <c r="H236" i="4"/>
  <c r="G236" i="4"/>
  <c r="F236" i="4"/>
  <c r="E236" i="4"/>
  <c r="H230" i="4"/>
  <c r="G230" i="4"/>
  <c r="F230" i="4"/>
  <c r="E230" i="4"/>
  <c r="H223" i="4"/>
  <c r="G223" i="4"/>
  <c r="F223" i="4"/>
  <c r="E223" i="4"/>
  <c r="H211" i="4"/>
  <c r="G211" i="4"/>
  <c r="F211" i="4"/>
  <c r="E211" i="4"/>
  <c r="H196" i="4"/>
  <c r="G196" i="4"/>
  <c r="F196" i="4"/>
  <c r="E196" i="4"/>
  <c r="H187" i="4"/>
  <c r="G187" i="4"/>
  <c r="F187" i="4"/>
  <c r="E187" i="4"/>
  <c r="H174" i="4"/>
  <c r="G174" i="4"/>
  <c r="F174" i="4"/>
  <c r="E174" i="4"/>
  <c r="H166" i="4"/>
  <c r="G166" i="4"/>
  <c r="F166" i="4"/>
  <c r="E166" i="4"/>
  <c r="H164" i="4"/>
  <c r="G164" i="4"/>
  <c r="F164" i="4"/>
  <c r="E164" i="4"/>
  <c r="H156" i="4"/>
  <c r="G156" i="4"/>
  <c r="F156" i="4"/>
  <c r="E156" i="4"/>
  <c r="H154" i="4"/>
  <c r="G154" i="4"/>
  <c r="E154" i="4"/>
  <c r="H145" i="4"/>
  <c r="G145" i="4"/>
  <c r="F145" i="4"/>
  <c r="E145" i="4"/>
  <c r="H136" i="4"/>
  <c r="G136" i="4"/>
  <c r="H134" i="4"/>
  <c r="G134" i="4"/>
  <c r="F134" i="4"/>
  <c r="E134" i="4"/>
  <c r="H132" i="4"/>
  <c r="G132" i="4"/>
  <c r="F132" i="4"/>
  <c r="E132" i="4"/>
  <c r="H129" i="4"/>
  <c r="G129" i="4"/>
  <c r="F129" i="4"/>
  <c r="E129" i="4"/>
  <c r="H118" i="4"/>
  <c r="H130" i="4" s="1"/>
  <c r="G118" i="4"/>
  <c r="G130" i="4" s="1"/>
  <c r="F118" i="4"/>
  <c r="E118" i="4"/>
  <c r="H105" i="4"/>
  <c r="G105" i="4"/>
  <c r="F105" i="4"/>
  <c r="E105" i="4"/>
  <c r="H66" i="4"/>
  <c r="G66" i="4"/>
  <c r="F66" i="4"/>
  <c r="E66" i="4"/>
  <c r="H57" i="4"/>
  <c r="G57" i="4"/>
  <c r="F57" i="4"/>
  <c r="E57" i="4"/>
  <c r="H42" i="4"/>
  <c r="G42" i="4"/>
  <c r="F42" i="4"/>
  <c r="E42" i="4"/>
  <c r="H22" i="4"/>
  <c r="G22" i="4"/>
  <c r="F22" i="4"/>
  <c r="E22" i="4"/>
  <c r="E43" i="4" s="1"/>
  <c r="H15" i="4"/>
  <c r="G15" i="4"/>
  <c r="F15" i="4"/>
  <c r="E15" i="4"/>
  <c r="H9" i="4"/>
  <c r="H11" i="4" s="1"/>
  <c r="G9" i="4"/>
  <c r="G11" i="4" s="1"/>
  <c r="F9" i="4"/>
  <c r="F11" i="4" s="1"/>
  <c r="F16" i="4" s="1"/>
  <c r="E9" i="4"/>
  <c r="E11" i="4" s="1"/>
  <c r="E16" i="4" s="1"/>
  <c r="I271" i="4" l="1"/>
  <c r="I135" i="4"/>
  <c r="I136" i="4" s="1"/>
  <c r="I158" i="4"/>
  <c r="I162" i="4" s="1"/>
  <c r="E162" i="4"/>
  <c r="I146" i="4"/>
  <c r="I154" i="4" s="1"/>
  <c r="I118" i="4"/>
  <c r="I130" i="4" s="1"/>
  <c r="I298" i="4"/>
  <c r="I299" i="4" s="1"/>
  <c r="I286" i="4"/>
  <c r="I287" i="4" s="1"/>
  <c r="I262" i="4"/>
  <c r="I256" i="4"/>
  <c r="I250" i="4"/>
  <c r="I236" i="4"/>
  <c r="I230" i="4"/>
  <c r="I223" i="4"/>
  <c r="G224" i="4"/>
  <c r="G272" i="4" s="1"/>
  <c r="G302" i="4" s="1"/>
  <c r="F224" i="4"/>
  <c r="F272" i="4" s="1"/>
  <c r="F302" i="4" s="1"/>
  <c r="H224" i="4"/>
  <c r="H272" i="4" s="1"/>
  <c r="H302" i="4" s="1"/>
  <c r="I211" i="4"/>
  <c r="I187" i="4"/>
  <c r="E224" i="4"/>
  <c r="E272" i="4" s="1"/>
  <c r="E302" i="4" s="1"/>
  <c r="I174" i="4"/>
  <c r="I145" i="4"/>
  <c r="E130" i="4"/>
  <c r="F130" i="4"/>
  <c r="I129" i="4"/>
  <c r="I105" i="4"/>
  <c r="I66" i="4"/>
  <c r="I57" i="4"/>
  <c r="H43" i="4"/>
  <c r="G43" i="4"/>
  <c r="F43" i="4"/>
  <c r="I42" i="4"/>
  <c r="I22" i="4"/>
  <c r="I15" i="4"/>
  <c r="I11" i="4"/>
  <c r="G16" i="4"/>
  <c r="H16" i="4"/>
  <c r="I224" i="4" l="1"/>
  <c r="I272" i="4" s="1"/>
  <c r="I302" i="4" s="1"/>
  <c r="I43" i="4"/>
  <c r="F14" i="2" l="1"/>
  <c r="I10" i="2"/>
  <c r="I14" i="2"/>
  <c r="I6" i="2"/>
  <c r="I12" i="2"/>
  <c r="I297" i="2"/>
  <c r="I293" i="2"/>
  <c r="I276" i="2"/>
  <c r="I257" i="2"/>
  <c r="I255" i="2"/>
  <c r="I254" i="2"/>
  <c r="I252" i="2"/>
  <c r="E294" i="2"/>
  <c r="E297" i="2"/>
  <c r="E296" i="2"/>
  <c r="E293" i="2"/>
  <c r="E276" i="2"/>
  <c r="E252" i="2"/>
  <c r="I221" i="2"/>
  <c r="I220" i="2"/>
  <c r="I219" i="2"/>
  <c r="I218" i="2"/>
  <c r="I217" i="2"/>
  <c r="I216" i="2"/>
  <c r="I215" i="2"/>
  <c r="I214" i="2"/>
  <c r="I213" i="2"/>
  <c r="I212" i="2"/>
  <c r="F204" i="2"/>
  <c r="I204" i="2" s="1"/>
  <c r="I208" i="2"/>
  <c r="I203" i="2"/>
  <c r="I202" i="2"/>
  <c r="I201" i="2"/>
  <c r="I199" i="2"/>
  <c r="I198" i="2" l="1"/>
  <c r="I197" i="2"/>
  <c r="I186" i="2"/>
  <c r="I184" i="2"/>
  <c r="I183" i="2"/>
  <c r="I178" i="2"/>
  <c r="I177" i="2"/>
  <c r="I173" i="2"/>
  <c r="I160" i="2"/>
  <c r="I158" i="2"/>
  <c r="F155" i="2"/>
  <c r="I155" i="2"/>
  <c r="I146" i="2"/>
  <c r="I143" i="2"/>
  <c r="I142" i="2"/>
  <c r="I140" i="2"/>
  <c r="I157" i="2" l="1"/>
  <c r="I135" i="2"/>
  <c r="I133" i="2"/>
  <c r="I131" i="2"/>
  <c r="I116" i="2"/>
  <c r="I104" i="2"/>
  <c r="F28" i="2"/>
  <c r="E28" i="2"/>
  <c r="E41" i="2"/>
  <c r="I41" i="2"/>
  <c r="F31" i="2"/>
  <c r="F39" i="2"/>
  <c r="F34" i="2"/>
  <c r="L302" i="2" l="1"/>
  <c r="F301" i="2"/>
  <c r="G301" i="2"/>
  <c r="I301" i="2"/>
  <c r="J301" i="2"/>
  <c r="L301" i="2"/>
  <c r="E301" i="2"/>
  <c r="F298" i="2"/>
  <c r="F299" i="2" s="1"/>
  <c r="G298" i="2"/>
  <c r="G299" i="2" s="1"/>
  <c r="I298" i="2"/>
  <c r="I299" i="2" s="1"/>
  <c r="J298" i="2"/>
  <c r="L298" i="2"/>
  <c r="L299" i="2" s="1"/>
  <c r="J299" i="2"/>
  <c r="E298" i="2"/>
  <c r="E299" i="2" s="1"/>
  <c r="F289" i="2"/>
  <c r="G289" i="2"/>
  <c r="I289" i="2"/>
  <c r="J289" i="2"/>
  <c r="L289" i="2"/>
  <c r="F290" i="2"/>
  <c r="G290" i="2"/>
  <c r="I290" i="2"/>
  <c r="J290" i="2"/>
  <c r="L290" i="2"/>
  <c r="E289" i="2"/>
  <c r="E290" i="2" s="1"/>
  <c r="F286" i="2"/>
  <c r="G286" i="2"/>
  <c r="H286" i="2"/>
  <c r="I286" i="2"/>
  <c r="J286" i="2"/>
  <c r="K286" i="2"/>
  <c r="K287" i="2" s="1"/>
  <c r="L286" i="2"/>
  <c r="M286" i="2"/>
  <c r="F287" i="2"/>
  <c r="G287" i="2"/>
  <c r="H287" i="2"/>
  <c r="I287" i="2"/>
  <c r="J287" i="2"/>
  <c r="L287" i="2"/>
  <c r="M287" i="2"/>
  <c r="E286" i="2"/>
  <c r="E287" i="2" s="1"/>
  <c r="F279" i="2"/>
  <c r="F280" i="2" s="1"/>
  <c r="G279" i="2"/>
  <c r="G280" i="2" s="1"/>
  <c r="I279" i="2"/>
  <c r="I280" i="2" s="1"/>
  <c r="J279" i="2"/>
  <c r="L279" i="2"/>
  <c r="J280" i="2"/>
  <c r="L280" i="2"/>
  <c r="E279" i="2"/>
  <c r="E280" i="2" s="1"/>
  <c r="F274" i="2"/>
  <c r="G274" i="2"/>
  <c r="H274" i="2"/>
  <c r="I274" i="2"/>
  <c r="I275" i="2" s="1"/>
  <c r="J274" i="2"/>
  <c r="J275" i="2" s="1"/>
  <c r="K274" i="2"/>
  <c r="K275" i="2" s="1"/>
  <c r="L274" i="2"/>
  <c r="L275" i="2" s="1"/>
  <c r="M274" i="2"/>
  <c r="M275" i="2" s="1"/>
  <c r="F275" i="2"/>
  <c r="G275" i="2"/>
  <c r="H275" i="2"/>
  <c r="E275" i="2"/>
  <c r="L272" i="2"/>
  <c r="E274" i="2"/>
  <c r="F271" i="2"/>
  <c r="G271" i="2"/>
  <c r="I271" i="2"/>
  <c r="J271" i="2"/>
  <c r="L271" i="2"/>
  <c r="E271" i="2"/>
  <c r="F266" i="2"/>
  <c r="G266" i="2"/>
  <c r="I266" i="2"/>
  <c r="J266" i="2"/>
  <c r="L266" i="2"/>
  <c r="F264" i="2"/>
  <c r="G264" i="2"/>
  <c r="H264" i="2"/>
  <c r="I264" i="2"/>
  <c r="J264" i="2"/>
  <c r="K264" i="2"/>
  <c r="L264" i="2"/>
  <c r="M264" i="2"/>
  <c r="E266" i="2"/>
  <c r="E264" i="2"/>
  <c r="F262" i="2"/>
  <c r="G262" i="2"/>
  <c r="I262" i="2"/>
  <c r="J262" i="2"/>
  <c r="L262" i="2"/>
  <c r="F256" i="2"/>
  <c r="G256" i="2"/>
  <c r="I256" i="2"/>
  <c r="J256" i="2"/>
  <c r="L256" i="2"/>
  <c r="E262" i="2"/>
  <c r="E256" i="2"/>
  <c r="F250" i="2"/>
  <c r="G250" i="2"/>
  <c r="I250" i="2"/>
  <c r="J250" i="2"/>
  <c r="L250" i="2"/>
  <c r="E250" i="2"/>
  <c r="F244" i="2"/>
  <c r="G244" i="2"/>
  <c r="H244" i="2"/>
  <c r="I244" i="2"/>
  <c r="J244" i="2"/>
  <c r="K244" i="2"/>
  <c r="L244" i="2"/>
  <c r="M244" i="2"/>
  <c r="E244" i="2"/>
  <c r="F242" i="2"/>
  <c r="G242" i="2"/>
  <c r="I242" i="2"/>
  <c r="J242" i="2"/>
  <c r="L242" i="2"/>
  <c r="E242" i="2"/>
  <c r="E236" i="2"/>
  <c r="M236" i="2"/>
  <c r="F236" i="2"/>
  <c r="G236" i="2"/>
  <c r="H236" i="2"/>
  <c r="I236" i="2"/>
  <c r="J236" i="2"/>
  <c r="K236" i="2"/>
  <c r="L236" i="2"/>
  <c r="F230" i="2"/>
  <c r="G230" i="2"/>
  <c r="H230" i="2"/>
  <c r="I230" i="2"/>
  <c r="J230" i="2"/>
  <c r="K230" i="2"/>
  <c r="L230" i="2"/>
  <c r="M230" i="2"/>
  <c r="E230" i="2"/>
  <c r="L224" i="2"/>
  <c r="F223" i="2"/>
  <c r="G223" i="2"/>
  <c r="I223" i="2"/>
  <c r="J223" i="2"/>
  <c r="L223" i="2"/>
  <c r="E223" i="2"/>
  <c r="F211" i="2"/>
  <c r="G211" i="2"/>
  <c r="I211" i="2"/>
  <c r="J211" i="2"/>
  <c r="L211" i="2"/>
  <c r="E211" i="2"/>
  <c r="F196" i="2"/>
  <c r="G196" i="2"/>
  <c r="H196" i="2"/>
  <c r="I196" i="2"/>
  <c r="J196" i="2"/>
  <c r="K196" i="2"/>
  <c r="L196" i="2"/>
  <c r="M196" i="2"/>
  <c r="E196" i="2"/>
  <c r="F187" i="2"/>
  <c r="G187" i="2"/>
  <c r="I187" i="2"/>
  <c r="J187" i="2"/>
  <c r="L187" i="2"/>
  <c r="E187" i="2"/>
  <c r="F174" i="2"/>
  <c r="G174" i="2"/>
  <c r="I174" i="2"/>
  <c r="J174" i="2"/>
  <c r="L174" i="2"/>
  <c r="E174" i="2"/>
  <c r="J224" i="2" l="1"/>
  <c r="J272" i="2" s="1"/>
  <c r="J302" i="2" s="1"/>
  <c r="F224" i="2"/>
  <c r="F272" i="2" s="1"/>
  <c r="F302" i="2" s="1"/>
  <c r="G224" i="2"/>
  <c r="G272" i="2" s="1"/>
  <c r="G302" i="2" s="1"/>
  <c r="I224" i="2"/>
  <c r="I272" i="2" s="1"/>
  <c r="I302" i="2" s="1"/>
  <c r="E224" i="2"/>
  <c r="E272" i="2" s="1"/>
  <c r="E302" i="2" s="1"/>
  <c r="F162" i="2"/>
  <c r="G162" i="2"/>
  <c r="I162" i="2"/>
  <c r="J162" i="2"/>
  <c r="L162" i="2"/>
  <c r="E162" i="2"/>
  <c r="F136" i="2"/>
  <c r="G136" i="2"/>
  <c r="I136" i="2"/>
  <c r="J136" i="2"/>
  <c r="L136" i="2"/>
  <c r="E136" i="2"/>
  <c r="E137" i="2" s="1"/>
  <c r="F129" i="2"/>
  <c r="G129" i="2"/>
  <c r="I129" i="2"/>
  <c r="J129" i="2"/>
  <c r="L129" i="2"/>
  <c r="E129" i="2"/>
  <c r="F118" i="2"/>
  <c r="G118" i="2"/>
  <c r="I118" i="2"/>
  <c r="J118" i="2"/>
  <c r="L118" i="2"/>
  <c r="E118" i="2"/>
  <c r="F105" i="2"/>
  <c r="G105" i="2"/>
  <c r="I105" i="2"/>
  <c r="J105" i="2"/>
  <c r="L105" i="2"/>
  <c r="E105" i="2"/>
  <c r="F166" i="2"/>
  <c r="G166" i="2"/>
  <c r="I166" i="2"/>
  <c r="J166" i="2"/>
  <c r="L166" i="2"/>
  <c r="F164" i="2"/>
  <c r="G164" i="2"/>
  <c r="I164" i="2"/>
  <c r="J164" i="2"/>
  <c r="L164" i="2"/>
  <c r="E166" i="2"/>
  <c r="E164" i="2"/>
  <c r="E156" i="2"/>
  <c r="F156" i="2"/>
  <c r="G156" i="2"/>
  <c r="I156" i="2"/>
  <c r="J156" i="2"/>
  <c r="L156" i="2"/>
  <c r="F154" i="2"/>
  <c r="G154" i="2"/>
  <c r="I154" i="2"/>
  <c r="J154" i="2"/>
  <c r="L154" i="2"/>
  <c r="F145" i="2"/>
  <c r="G145" i="2"/>
  <c r="I145" i="2"/>
  <c r="J145" i="2"/>
  <c r="L145" i="2"/>
  <c r="E154" i="2"/>
  <c r="E145" i="2"/>
  <c r="F134" i="2"/>
  <c r="G134" i="2"/>
  <c r="I134" i="2"/>
  <c r="J134" i="2"/>
  <c r="L134" i="2"/>
  <c r="F132" i="2"/>
  <c r="G132" i="2"/>
  <c r="I132" i="2"/>
  <c r="J132" i="2"/>
  <c r="L132" i="2"/>
  <c r="E134" i="2"/>
  <c r="E132" i="2"/>
  <c r="K278" i="2"/>
  <c r="M278" i="2" s="1"/>
  <c r="K268" i="2"/>
  <c r="M268" i="2" s="1"/>
  <c r="H303" i="2"/>
  <c r="K303" i="2" s="1"/>
  <c r="M303" i="2" s="1"/>
  <c r="H300" i="2"/>
  <c r="H297" i="2"/>
  <c r="K297" i="2" s="1"/>
  <c r="M297" i="2" s="1"/>
  <c r="H296" i="2"/>
  <c r="K296" i="2" s="1"/>
  <c r="M296" i="2" s="1"/>
  <c r="H295" i="2"/>
  <c r="K295" i="2" s="1"/>
  <c r="M295" i="2" s="1"/>
  <c r="H294" i="2"/>
  <c r="K294" i="2" s="1"/>
  <c r="M294" i="2" s="1"/>
  <c r="H293" i="2"/>
  <c r="K293" i="2" s="1"/>
  <c r="M293" i="2" s="1"/>
  <c r="H292" i="2"/>
  <c r="K292" i="2" s="1"/>
  <c r="M292" i="2" s="1"/>
  <c r="H291" i="2"/>
  <c r="H288" i="2"/>
  <c r="H285" i="2"/>
  <c r="K285" i="2" s="1"/>
  <c r="M285" i="2" s="1"/>
  <c r="H284" i="2"/>
  <c r="K284" i="2" s="1"/>
  <c r="M284" i="2" s="1"/>
  <c r="H283" i="2"/>
  <c r="K283" i="2" s="1"/>
  <c r="M283" i="2" s="1"/>
  <c r="H282" i="2"/>
  <c r="K282" i="2" s="1"/>
  <c r="M282" i="2" s="1"/>
  <c r="H281" i="2"/>
  <c r="K281" i="2" s="1"/>
  <c r="M281" i="2" s="1"/>
  <c r="H278" i="2"/>
  <c r="H277" i="2"/>
  <c r="K277" i="2" s="1"/>
  <c r="M277" i="2" s="1"/>
  <c r="H276" i="2"/>
  <c r="H279" i="2" s="1"/>
  <c r="H280" i="2" s="1"/>
  <c r="H273" i="2"/>
  <c r="K273" i="2" s="1"/>
  <c r="M273" i="2" s="1"/>
  <c r="H270" i="2"/>
  <c r="K270" i="2" s="1"/>
  <c r="M270" i="2" s="1"/>
  <c r="H269" i="2"/>
  <c r="K269" i="2" s="1"/>
  <c r="M269" i="2" s="1"/>
  <c r="H268" i="2"/>
  <c r="H267" i="2"/>
  <c r="H265" i="2"/>
  <c r="H263" i="2"/>
  <c r="K263" i="2" s="1"/>
  <c r="M263" i="2" s="1"/>
  <c r="H261" i="2"/>
  <c r="K261" i="2" s="1"/>
  <c r="M261" i="2" s="1"/>
  <c r="H260" i="2"/>
  <c r="K260" i="2" s="1"/>
  <c r="M260" i="2" s="1"/>
  <c r="H259" i="2"/>
  <c r="K259" i="2" s="1"/>
  <c r="M259" i="2" s="1"/>
  <c r="H258" i="2"/>
  <c r="K258" i="2" s="1"/>
  <c r="M258" i="2" s="1"/>
  <c r="H257" i="2"/>
  <c r="H255" i="2"/>
  <c r="K255" i="2" s="1"/>
  <c r="M255" i="2" s="1"/>
  <c r="H254" i="2"/>
  <c r="K254" i="2" s="1"/>
  <c r="M254" i="2" s="1"/>
  <c r="H253" i="2"/>
  <c r="K253" i="2" s="1"/>
  <c r="M253" i="2" s="1"/>
  <c r="H252" i="2"/>
  <c r="H251" i="2"/>
  <c r="K251" i="2" s="1"/>
  <c r="M251" i="2" s="1"/>
  <c r="H249" i="2"/>
  <c r="K249" i="2" s="1"/>
  <c r="M249" i="2" s="1"/>
  <c r="H248" i="2"/>
  <c r="K248" i="2" s="1"/>
  <c r="M248" i="2" s="1"/>
  <c r="H247" i="2"/>
  <c r="K247" i="2" s="1"/>
  <c r="M247" i="2" s="1"/>
  <c r="H246" i="2"/>
  <c r="K246" i="2" s="1"/>
  <c r="M246" i="2" s="1"/>
  <c r="H245" i="2"/>
  <c r="H243" i="2"/>
  <c r="K243" i="2" s="1"/>
  <c r="M243" i="2" s="1"/>
  <c r="H241" i="2"/>
  <c r="K241" i="2" s="1"/>
  <c r="M241" i="2" s="1"/>
  <c r="H240" i="2"/>
  <c r="K240" i="2" s="1"/>
  <c r="M240" i="2" s="1"/>
  <c r="H239" i="2"/>
  <c r="K239" i="2" s="1"/>
  <c r="M239" i="2" s="1"/>
  <c r="H238" i="2"/>
  <c r="K238" i="2" s="1"/>
  <c r="M238" i="2" s="1"/>
  <c r="H237" i="2"/>
  <c r="H235" i="2"/>
  <c r="K235" i="2" s="1"/>
  <c r="M235" i="2" s="1"/>
  <c r="H234" i="2"/>
  <c r="K234" i="2" s="1"/>
  <c r="M234" i="2" s="1"/>
  <c r="H233" i="2"/>
  <c r="K233" i="2" s="1"/>
  <c r="M233" i="2" s="1"/>
  <c r="H232" i="2"/>
  <c r="K232" i="2" s="1"/>
  <c r="M232" i="2" s="1"/>
  <c r="H231" i="2"/>
  <c r="K231" i="2" s="1"/>
  <c r="M231" i="2" s="1"/>
  <c r="H229" i="2"/>
  <c r="K229" i="2" s="1"/>
  <c r="M229" i="2" s="1"/>
  <c r="H228" i="2"/>
  <c r="K228" i="2" s="1"/>
  <c r="M228" i="2" s="1"/>
  <c r="H227" i="2"/>
  <c r="K227" i="2" s="1"/>
  <c r="M227" i="2" s="1"/>
  <c r="H226" i="2"/>
  <c r="K226" i="2" s="1"/>
  <c r="M226" i="2" s="1"/>
  <c r="H225" i="2"/>
  <c r="K225" i="2" s="1"/>
  <c r="M225" i="2" s="1"/>
  <c r="H222" i="2"/>
  <c r="K222" i="2" s="1"/>
  <c r="M222" i="2" s="1"/>
  <c r="H221" i="2"/>
  <c r="K221" i="2" s="1"/>
  <c r="M221" i="2" s="1"/>
  <c r="H220" i="2"/>
  <c r="K220" i="2" s="1"/>
  <c r="M220" i="2" s="1"/>
  <c r="H219" i="2"/>
  <c r="K219" i="2" s="1"/>
  <c r="M219" i="2" s="1"/>
  <c r="H218" i="2"/>
  <c r="K218" i="2" s="1"/>
  <c r="M218" i="2" s="1"/>
  <c r="H217" i="2"/>
  <c r="K217" i="2" s="1"/>
  <c r="M217" i="2" s="1"/>
  <c r="H216" i="2"/>
  <c r="K216" i="2" s="1"/>
  <c r="M216" i="2" s="1"/>
  <c r="H215" i="2"/>
  <c r="K215" i="2" s="1"/>
  <c r="M215" i="2" s="1"/>
  <c r="H214" i="2"/>
  <c r="K214" i="2" s="1"/>
  <c r="M214" i="2" s="1"/>
  <c r="H213" i="2"/>
  <c r="K213" i="2" s="1"/>
  <c r="M213" i="2" s="1"/>
  <c r="H212" i="2"/>
  <c r="H210" i="2"/>
  <c r="K210" i="2" s="1"/>
  <c r="M210" i="2" s="1"/>
  <c r="H209" i="2"/>
  <c r="K209" i="2" s="1"/>
  <c r="M209" i="2" s="1"/>
  <c r="H208" i="2"/>
  <c r="K208" i="2" s="1"/>
  <c r="M208" i="2" s="1"/>
  <c r="H207" i="2"/>
  <c r="K207" i="2" s="1"/>
  <c r="M207" i="2" s="1"/>
  <c r="H206" i="2"/>
  <c r="K206" i="2" s="1"/>
  <c r="M206" i="2" s="1"/>
  <c r="H205" i="2"/>
  <c r="K205" i="2" s="1"/>
  <c r="M205" i="2" s="1"/>
  <c r="H204" i="2"/>
  <c r="K204" i="2" s="1"/>
  <c r="M204" i="2" s="1"/>
  <c r="H203" i="2"/>
  <c r="K203" i="2" s="1"/>
  <c r="M203" i="2" s="1"/>
  <c r="H202" i="2"/>
  <c r="K202" i="2" s="1"/>
  <c r="M202" i="2" s="1"/>
  <c r="H201" i="2"/>
  <c r="K201" i="2" s="1"/>
  <c r="M201" i="2" s="1"/>
  <c r="H200" i="2"/>
  <c r="K200" i="2" s="1"/>
  <c r="M200" i="2" s="1"/>
  <c r="H199" i="2"/>
  <c r="K199" i="2" s="1"/>
  <c r="M199" i="2" s="1"/>
  <c r="H198" i="2"/>
  <c r="K198" i="2" s="1"/>
  <c r="M198" i="2" s="1"/>
  <c r="H197" i="2"/>
  <c r="H195" i="2"/>
  <c r="K195" i="2" s="1"/>
  <c r="M195" i="2" s="1"/>
  <c r="H194" i="2"/>
  <c r="K194" i="2" s="1"/>
  <c r="M194" i="2" s="1"/>
  <c r="H193" i="2"/>
  <c r="K193" i="2" s="1"/>
  <c r="M193" i="2" s="1"/>
  <c r="H192" i="2"/>
  <c r="K192" i="2" s="1"/>
  <c r="M192" i="2" s="1"/>
  <c r="H191" i="2"/>
  <c r="K191" i="2" s="1"/>
  <c r="M191" i="2" s="1"/>
  <c r="H190" i="2"/>
  <c r="K190" i="2" s="1"/>
  <c r="M190" i="2" s="1"/>
  <c r="H189" i="2"/>
  <c r="K189" i="2" s="1"/>
  <c r="M189" i="2" s="1"/>
  <c r="H188" i="2"/>
  <c r="K188" i="2" s="1"/>
  <c r="M188" i="2" s="1"/>
  <c r="H186" i="2"/>
  <c r="K186" i="2" s="1"/>
  <c r="M186" i="2" s="1"/>
  <c r="H185" i="2"/>
  <c r="K185" i="2" s="1"/>
  <c r="M185" i="2" s="1"/>
  <c r="H184" i="2"/>
  <c r="K184" i="2" s="1"/>
  <c r="M184" i="2" s="1"/>
  <c r="H183" i="2"/>
  <c r="K183" i="2" s="1"/>
  <c r="M183" i="2" s="1"/>
  <c r="H182" i="2"/>
  <c r="K182" i="2" s="1"/>
  <c r="M182" i="2" s="1"/>
  <c r="H181" i="2"/>
  <c r="K181" i="2" s="1"/>
  <c r="M181" i="2" s="1"/>
  <c r="H180" i="2"/>
  <c r="K180" i="2" s="1"/>
  <c r="M180" i="2" s="1"/>
  <c r="H179" i="2"/>
  <c r="K179" i="2" s="1"/>
  <c r="M179" i="2" s="1"/>
  <c r="H178" i="2"/>
  <c r="K178" i="2" s="1"/>
  <c r="M178" i="2" s="1"/>
  <c r="H177" i="2"/>
  <c r="K177" i="2" s="1"/>
  <c r="M177" i="2" s="1"/>
  <c r="H176" i="2"/>
  <c r="K176" i="2" s="1"/>
  <c r="M176" i="2" s="1"/>
  <c r="H175" i="2"/>
  <c r="H173" i="2"/>
  <c r="H172" i="2"/>
  <c r="K172" i="2" s="1"/>
  <c r="M172" i="2" s="1"/>
  <c r="H171" i="2"/>
  <c r="K171" i="2" s="1"/>
  <c r="M171" i="2" s="1"/>
  <c r="H170" i="2"/>
  <c r="K170" i="2" s="1"/>
  <c r="M170" i="2" s="1"/>
  <c r="H169" i="2"/>
  <c r="K169" i="2" s="1"/>
  <c r="M169" i="2" s="1"/>
  <c r="H165" i="2"/>
  <c r="K165" i="2" s="1"/>
  <c r="H163" i="2"/>
  <c r="K163" i="2" s="1"/>
  <c r="H161" i="2"/>
  <c r="K161" i="2" s="1"/>
  <c r="M161" i="2" s="1"/>
  <c r="H160" i="2"/>
  <c r="K160" i="2" s="1"/>
  <c r="M160" i="2" s="1"/>
  <c r="H159" i="2"/>
  <c r="K159" i="2" s="1"/>
  <c r="M159" i="2" s="1"/>
  <c r="H158" i="2"/>
  <c r="K158" i="2" s="1"/>
  <c r="M158" i="2" s="1"/>
  <c r="H157" i="2"/>
  <c r="H155" i="2"/>
  <c r="H156" i="2" s="1"/>
  <c r="H153" i="2"/>
  <c r="K153" i="2" s="1"/>
  <c r="M153" i="2" s="1"/>
  <c r="H152" i="2"/>
  <c r="K152" i="2" s="1"/>
  <c r="M152" i="2" s="1"/>
  <c r="H151" i="2"/>
  <c r="K151" i="2" s="1"/>
  <c r="M151" i="2" s="1"/>
  <c r="H150" i="2"/>
  <c r="K150" i="2" s="1"/>
  <c r="M150" i="2" s="1"/>
  <c r="H149" i="2"/>
  <c r="K149" i="2" s="1"/>
  <c r="M149" i="2" s="1"/>
  <c r="H148" i="2"/>
  <c r="K148" i="2" s="1"/>
  <c r="M148" i="2" s="1"/>
  <c r="H147" i="2"/>
  <c r="K147" i="2" s="1"/>
  <c r="M147" i="2" s="1"/>
  <c r="H146" i="2"/>
  <c r="K146" i="2" s="1"/>
  <c r="H144" i="2"/>
  <c r="K144" i="2" s="1"/>
  <c r="M144" i="2" s="1"/>
  <c r="H143" i="2"/>
  <c r="K143" i="2" s="1"/>
  <c r="M143" i="2" s="1"/>
  <c r="H142" i="2"/>
  <c r="K142" i="2" s="1"/>
  <c r="M142" i="2" s="1"/>
  <c r="H141" i="2"/>
  <c r="K141" i="2" s="1"/>
  <c r="M141" i="2" s="1"/>
  <c r="H140" i="2"/>
  <c r="K140" i="2" s="1"/>
  <c r="M140" i="2" s="1"/>
  <c r="H139" i="2"/>
  <c r="K139" i="2" s="1"/>
  <c r="M139" i="2" s="1"/>
  <c r="H138" i="2"/>
  <c r="H135" i="2"/>
  <c r="K135" i="2" s="1"/>
  <c r="M135" i="2" s="1"/>
  <c r="M136" i="2" s="1"/>
  <c r="H133" i="2"/>
  <c r="H134" i="2" s="1"/>
  <c r="H131" i="2"/>
  <c r="H132" i="2" s="1"/>
  <c r="H128" i="2"/>
  <c r="K128" i="2" s="1"/>
  <c r="M128" i="2" s="1"/>
  <c r="H127" i="2"/>
  <c r="K127" i="2" s="1"/>
  <c r="M127" i="2" s="1"/>
  <c r="H126" i="2"/>
  <c r="K126" i="2" s="1"/>
  <c r="M126" i="2" s="1"/>
  <c r="H125" i="2"/>
  <c r="K125" i="2" s="1"/>
  <c r="M125" i="2" s="1"/>
  <c r="H124" i="2"/>
  <c r="K124" i="2" s="1"/>
  <c r="M124" i="2" s="1"/>
  <c r="H123" i="2"/>
  <c r="K123" i="2" s="1"/>
  <c r="M123" i="2" s="1"/>
  <c r="H122" i="2"/>
  <c r="K122" i="2" s="1"/>
  <c r="M122" i="2" s="1"/>
  <c r="H121" i="2"/>
  <c r="K121" i="2" s="1"/>
  <c r="M121" i="2" s="1"/>
  <c r="H120" i="2"/>
  <c r="K120" i="2" s="1"/>
  <c r="M120" i="2" s="1"/>
  <c r="H119" i="2"/>
  <c r="K119" i="2" s="1"/>
  <c r="M119" i="2" s="1"/>
  <c r="H117" i="2"/>
  <c r="K117" i="2" s="1"/>
  <c r="M117" i="2" s="1"/>
  <c r="H116" i="2"/>
  <c r="K116" i="2" s="1"/>
  <c r="M116" i="2" s="1"/>
  <c r="H115" i="2"/>
  <c r="K115" i="2" s="1"/>
  <c r="M115" i="2" s="1"/>
  <c r="H114" i="2"/>
  <c r="K114" i="2" s="1"/>
  <c r="M114" i="2" s="1"/>
  <c r="H113" i="2"/>
  <c r="K113" i="2" s="1"/>
  <c r="M113" i="2" s="1"/>
  <c r="H112" i="2"/>
  <c r="K112" i="2" s="1"/>
  <c r="M112" i="2" s="1"/>
  <c r="H111" i="2"/>
  <c r="K111" i="2" s="1"/>
  <c r="M111" i="2" s="1"/>
  <c r="H110" i="2"/>
  <c r="K110" i="2" s="1"/>
  <c r="M110" i="2" s="1"/>
  <c r="H109" i="2"/>
  <c r="K109" i="2" s="1"/>
  <c r="M109" i="2" s="1"/>
  <c r="H108" i="2"/>
  <c r="K108" i="2" s="1"/>
  <c r="M108" i="2" s="1"/>
  <c r="H107" i="2"/>
  <c r="K107" i="2" s="1"/>
  <c r="M107" i="2" s="1"/>
  <c r="H104" i="2"/>
  <c r="K104" i="2" s="1"/>
  <c r="M104" i="2" s="1"/>
  <c r="H103" i="2"/>
  <c r="K103" i="2" s="1"/>
  <c r="M103" i="2" s="1"/>
  <c r="H102" i="2"/>
  <c r="K102" i="2" s="1"/>
  <c r="M102" i="2" s="1"/>
  <c r="H101" i="2"/>
  <c r="K101" i="2" s="1"/>
  <c r="M101" i="2" s="1"/>
  <c r="H100" i="2"/>
  <c r="K100" i="2" s="1"/>
  <c r="M100" i="2" s="1"/>
  <c r="H99" i="2"/>
  <c r="K99" i="2" s="1"/>
  <c r="M99" i="2" s="1"/>
  <c r="H98" i="2"/>
  <c r="K98" i="2" s="1"/>
  <c r="M98" i="2" s="1"/>
  <c r="H97" i="2"/>
  <c r="K97" i="2" s="1"/>
  <c r="M97" i="2" s="1"/>
  <c r="H95" i="2"/>
  <c r="K95" i="2" s="1"/>
  <c r="M95" i="2" s="1"/>
  <c r="H94" i="2"/>
  <c r="K94" i="2" s="1"/>
  <c r="M94" i="2" s="1"/>
  <c r="H93" i="2"/>
  <c r="K93" i="2" s="1"/>
  <c r="M93" i="2" s="1"/>
  <c r="H92" i="2"/>
  <c r="K92" i="2" s="1"/>
  <c r="M92" i="2" s="1"/>
  <c r="H91" i="2"/>
  <c r="K91" i="2" s="1"/>
  <c r="M91" i="2" s="1"/>
  <c r="H90" i="2"/>
  <c r="K90" i="2" s="1"/>
  <c r="M90" i="2" s="1"/>
  <c r="H89" i="2"/>
  <c r="K89" i="2" s="1"/>
  <c r="M89" i="2" s="1"/>
  <c r="H88" i="2"/>
  <c r="K88" i="2" s="1"/>
  <c r="M88" i="2" s="1"/>
  <c r="H87" i="2"/>
  <c r="K87" i="2" s="1"/>
  <c r="M87" i="2" s="1"/>
  <c r="H86" i="2"/>
  <c r="K86" i="2" s="1"/>
  <c r="M86" i="2" s="1"/>
  <c r="H85" i="2"/>
  <c r="K85" i="2" s="1"/>
  <c r="M85" i="2" s="1"/>
  <c r="K78" i="2"/>
  <c r="M78" i="2" s="1"/>
  <c r="H82" i="2"/>
  <c r="K82" i="2" s="1"/>
  <c r="M82" i="2" s="1"/>
  <c r="H81" i="2"/>
  <c r="K81" i="2" s="1"/>
  <c r="M81" i="2" s="1"/>
  <c r="H80" i="2"/>
  <c r="K80" i="2" s="1"/>
  <c r="M80" i="2" s="1"/>
  <c r="H79" i="2"/>
  <c r="K79" i="2" s="1"/>
  <c r="M79" i="2" s="1"/>
  <c r="H78" i="2"/>
  <c r="H77" i="2"/>
  <c r="K77" i="2" s="1"/>
  <c r="M77" i="2" s="1"/>
  <c r="H76" i="2"/>
  <c r="K76" i="2" s="1"/>
  <c r="M76" i="2" s="1"/>
  <c r="H75" i="2"/>
  <c r="K75" i="2" s="1"/>
  <c r="M75" i="2" s="1"/>
  <c r="H74" i="2"/>
  <c r="K74" i="2" s="1"/>
  <c r="M74" i="2" s="1"/>
  <c r="K71" i="2"/>
  <c r="M71" i="2" s="1"/>
  <c r="H72" i="2"/>
  <c r="K72" i="2" s="1"/>
  <c r="M72" i="2" s="1"/>
  <c r="H71" i="2"/>
  <c r="H70" i="2"/>
  <c r="K70" i="2" s="1"/>
  <c r="M70" i="2" s="1"/>
  <c r="H69" i="2"/>
  <c r="K69" i="2" s="1"/>
  <c r="M69" i="2" s="1"/>
  <c r="H68" i="2"/>
  <c r="K68" i="2" s="1"/>
  <c r="M68" i="2" s="1"/>
  <c r="H67" i="2"/>
  <c r="K67" i="2" s="1"/>
  <c r="M67" i="2" s="1"/>
  <c r="H65" i="2"/>
  <c r="K65" i="2" s="1"/>
  <c r="M65" i="2" s="1"/>
  <c r="H64" i="2"/>
  <c r="K64" i="2" s="1"/>
  <c r="M64" i="2" s="1"/>
  <c r="H63" i="2"/>
  <c r="K63" i="2" s="1"/>
  <c r="M63" i="2" s="1"/>
  <c r="H62" i="2"/>
  <c r="K62" i="2" s="1"/>
  <c r="M62" i="2" s="1"/>
  <c r="H61" i="2"/>
  <c r="K61" i="2" s="1"/>
  <c r="M61" i="2" s="1"/>
  <c r="H60" i="2"/>
  <c r="K60" i="2" s="1"/>
  <c r="M60" i="2" s="1"/>
  <c r="H59" i="2"/>
  <c r="K59" i="2" s="1"/>
  <c r="M59" i="2" s="1"/>
  <c r="H58" i="2"/>
  <c r="F66" i="2"/>
  <c r="G66" i="2"/>
  <c r="I66" i="2"/>
  <c r="J66" i="2"/>
  <c r="L66" i="2"/>
  <c r="E66" i="2"/>
  <c r="K53" i="2"/>
  <c r="M53" i="2" s="1"/>
  <c r="K48" i="2"/>
  <c r="M48" i="2" s="1"/>
  <c r="K45" i="2"/>
  <c r="M45" i="2" s="1"/>
  <c r="H56" i="2"/>
  <c r="K56" i="2" s="1"/>
  <c r="M56" i="2" s="1"/>
  <c r="H55" i="2"/>
  <c r="K55" i="2" s="1"/>
  <c r="M55" i="2" s="1"/>
  <c r="H54" i="2"/>
  <c r="K54" i="2" s="1"/>
  <c r="M54" i="2" s="1"/>
  <c r="H53" i="2"/>
  <c r="H52" i="2"/>
  <c r="K52" i="2" s="1"/>
  <c r="M52" i="2" s="1"/>
  <c r="H51" i="2"/>
  <c r="K51" i="2" s="1"/>
  <c r="M51" i="2" s="1"/>
  <c r="H50" i="2"/>
  <c r="K50" i="2" s="1"/>
  <c r="M50" i="2" s="1"/>
  <c r="H49" i="2"/>
  <c r="K49" i="2" s="1"/>
  <c r="M49" i="2" s="1"/>
  <c r="H48" i="2"/>
  <c r="H47" i="2"/>
  <c r="K47" i="2" s="1"/>
  <c r="M47" i="2" s="1"/>
  <c r="H46" i="2"/>
  <c r="K46" i="2" s="1"/>
  <c r="M46" i="2" s="1"/>
  <c r="H45" i="2"/>
  <c r="H44" i="2"/>
  <c r="K44" i="2" s="1"/>
  <c r="F57" i="2"/>
  <c r="G57" i="2"/>
  <c r="I57" i="2"/>
  <c r="J57" i="2"/>
  <c r="L57" i="2"/>
  <c r="E57" i="2"/>
  <c r="H41" i="2"/>
  <c r="K41" i="2" s="1"/>
  <c r="M41" i="2" s="1"/>
  <c r="H40" i="2"/>
  <c r="K40" i="2" s="1"/>
  <c r="M40" i="2" s="1"/>
  <c r="H39" i="2"/>
  <c r="K39" i="2" s="1"/>
  <c r="M39" i="2" s="1"/>
  <c r="H38" i="2"/>
  <c r="K38" i="2" s="1"/>
  <c r="M38" i="2" s="1"/>
  <c r="H37" i="2"/>
  <c r="K37" i="2" s="1"/>
  <c r="M37" i="2" s="1"/>
  <c r="H36" i="2"/>
  <c r="K36" i="2" s="1"/>
  <c r="M36" i="2" s="1"/>
  <c r="H35" i="2"/>
  <c r="K35" i="2" s="1"/>
  <c r="M35" i="2" s="1"/>
  <c r="H34" i="2"/>
  <c r="K34" i="2" s="1"/>
  <c r="M34" i="2" s="1"/>
  <c r="H33" i="2"/>
  <c r="K33" i="2" s="1"/>
  <c r="M33" i="2" s="1"/>
  <c r="H32" i="2"/>
  <c r="K32" i="2" s="1"/>
  <c r="M32" i="2" s="1"/>
  <c r="H31" i="2"/>
  <c r="K31" i="2" s="1"/>
  <c r="M31" i="2" s="1"/>
  <c r="H30" i="2"/>
  <c r="K30" i="2" s="1"/>
  <c r="M30" i="2" s="1"/>
  <c r="H29" i="2"/>
  <c r="K29" i="2" s="1"/>
  <c r="M29" i="2" s="1"/>
  <c r="H27" i="2"/>
  <c r="K27" i="2" s="1"/>
  <c r="M27" i="2" s="1"/>
  <c r="H26" i="2"/>
  <c r="K26" i="2" s="1"/>
  <c r="M26" i="2" s="1"/>
  <c r="H25" i="2"/>
  <c r="K25" i="2" s="1"/>
  <c r="H24" i="2"/>
  <c r="H23" i="2"/>
  <c r="K23" i="2" s="1"/>
  <c r="M23" i="2" s="1"/>
  <c r="F42" i="2"/>
  <c r="F43" i="2" s="1"/>
  <c r="G42" i="2"/>
  <c r="I42" i="2"/>
  <c r="J42" i="2"/>
  <c r="L42" i="2"/>
  <c r="E42" i="2"/>
  <c r="H21" i="2"/>
  <c r="K21" i="2" s="1"/>
  <c r="M21" i="2" s="1"/>
  <c r="H20" i="2"/>
  <c r="K20" i="2" s="1"/>
  <c r="M20" i="2" s="1"/>
  <c r="H19" i="2"/>
  <c r="K19" i="2" s="1"/>
  <c r="M19" i="2" s="1"/>
  <c r="H18" i="2"/>
  <c r="K18" i="2" s="1"/>
  <c r="M18" i="2" s="1"/>
  <c r="H17" i="2"/>
  <c r="K17" i="2" s="1"/>
  <c r="F22" i="2"/>
  <c r="G22" i="2"/>
  <c r="G43" i="2" s="1"/>
  <c r="I22" i="2"/>
  <c r="J22" i="2"/>
  <c r="L22" i="2"/>
  <c r="E22" i="2"/>
  <c r="H5" i="2"/>
  <c r="K5" i="2" s="1"/>
  <c r="M5" i="2" s="1"/>
  <c r="H13" i="2"/>
  <c r="K13" i="2" s="1"/>
  <c r="M13" i="2" s="1"/>
  <c r="H12" i="2"/>
  <c r="K12" i="2" s="1"/>
  <c r="M12" i="2" s="1"/>
  <c r="H6" i="2"/>
  <c r="K6" i="2" s="1"/>
  <c r="M6" i="2" s="1"/>
  <c r="H7" i="2"/>
  <c r="K7" i="2" s="1"/>
  <c r="H8" i="2"/>
  <c r="K8" i="2" s="1"/>
  <c r="M8" i="2" s="1"/>
  <c r="F15" i="2"/>
  <c r="G15" i="2"/>
  <c r="I15" i="2"/>
  <c r="J15" i="2"/>
  <c r="L15" i="2"/>
  <c r="F9" i="2"/>
  <c r="F11" i="2" s="1"/>
  <c r="G9" i="2"/>
  <c r="G11" i="2" s="1"/>
  <c r="G16" i="2" s="1"/>
  <c r="I9" i="2"/>
  <c r="I11" i="2" s="1"/>
  <c r="J9" i="2"/>
  <c r="J11" i="2" s="1"/>
  <c r="L9" i="2"/>
  <c r="L11" i="2" s="1"/>
  <c r="H3" i="2"/>
  <c r="K3" i="2" s="1"/>
  <c r="M3" i="2" s="1"/>
  <c r="H14" i="2"/>
  <c r="K14" i="2" s="1"/>
  <c r="M14" i="2" s="1"/>
  <c r="H10" i="2"/>
  <c r="K10" i="2" s="1"/>
  <c r="M10" i="2" s="1"/>
  <c r="H4" i="2"/>
  <c r="K4" i="2" s="1"/>
  <c r="M4" i="2" s="1"/>
  <c r="L16" i="2" l="1"/>
  <c r="J16" i="2"/>
  <c r="K276" i="2"/>
  <c r="K300" i="2"/>
  <c r="H301" i="2"/>
  <c r="K288" i="2"/>
  <c r="H289" i="2"/>
  <c r="H290" i="2" s="1"/>
  <c r="M276" i="2"/>
  <c r="M279" i="2" s="1"/>
  <c r="M280" i="2" s="1"/>
  <c r="K279" i="2"/>
  <c r="K280" i="2" s="1"/>
  <c r="H256" i="2"/>
  <c r="K212" i="2"/>
  <c r="K223" i="2" s="1"/>
  <c r="H223" i="2"/>
  <c r="K197" i="2"/>
  <c r="H211" i="2"/>
  <c r="K175" i="2"/>
  <c r="H187" i="2"/>
  <c r="K173" i="2"/>
  <c r="H174" i="2"/>
  <c r="H162" i="2"/>
  <c r="K136" i="2"/>
  <c r="H136" i="2"/>
  <c r="H129" i="2"/>
  <c r="M129" i="2"/>
  <c r="K129" i="2"/>
  <c r="M118" i="2"/>
  <c r="H118" i="2"/>
  <c r="K118" i="2"/>
  <c r="M105" i="2"/>
  <c r="H105" i="2"/>
  <c r="K105" i="2"/>
  <c r="K291" i="2"/>
  <c r="H298" i="2"/>
  <c r="H299" i="2" s="1"/>
  <c r="K267" i="2"/>
  <c r="H271" i="2"/>
  <c r="K265" i="2"/>
  <c r="H266" i="2"/>
  <c r="K257" i="2"/>
  <c r="H262" i="2"/>
  <c r="K252" i="2"/>
  <c r="K245" i="2"/>
  <c r="H250" i="2"/>
  <c r="K237" i="2"/>
  <c r="H242" i="2"/>
  <c r="K155" i="2"/>
  <c r="M155" i="2" s="1"/>
  <c r="M156" i="2" s="1"/>
  <c r="E43" i="2"/>
  <c r="I16" i="2"/>
  <c r="L43" i="2"/>
  <c r="J43" i="2"/>
  <c r="F16" i="2"/>
  <c r="I43" i="2"/>
  <c r="H28" i="2"/>
  <c r="K28" i="2" s="1"/>
  <c r="M28" i="2" s="1"/>
  <c r="H57" i="2"/>
  <c r="H145" i="2"/>
  <c r="M25" i="2"/>
  <c r="K154" i="2"/>
  <c r="K9" i="2"/>
  <c r="K11" i="2" s="1"/>
  <c r="M7" i="2"/>
  <c r="M9" i="2" s="1"/>
  <c r="M11" i="2" s="1"/>
  <c r="M163" i="2"/>
  <c r="M164" i="2" s="1"/>
  <c r="K164" i="2"/>
  <c r="M44" i="2"/>
  <c r="M57" i="2" s="1"/>
  <c r="K57" i="2"/>
  <c r="M165" i="2"/>
  <c r="M166" i="2" s="1"/>
  <c r="K166" i="2"/>
  <c r="K22" i="2"/>
  <c r="M17" i="2"/>
  <c r="M22" i="2" s="1"/>
  <c r="H154" i="2"/>
  <c r="M146" i="2"/>
  <c r="M154" i="2" s="1"/>
  <c r="H22" i="2"/>
  <c r="K138" i="2"/>
  <c r="K15" i="2"/>
  <c r="K157" i="2"/>
  <c r="K162" i="2" s="1"/>
  <c r="K24" i="2"/>
  <c r="M24" i="2" s="1"/>
  <c r="H164" i="2"/>
  <c r="H166" i="2"/>
  <c r="K131" i="2"/>
  <c r="H15" i="2"/>
  <c r="H66" i="2"/>
  <c r="K58" i="2"/>
  <c r="K133" i="2"/>
  <c r="M15" i="2"/>
  <c r="H9" i="2"/>
  <c r="H11" i="2" s="1"/>
  <c r="E15" i="2"/>
  <c r="E9" i="2"/>
  <c r="E11" i="2" s="1"/>
  <c r="K16" i="2" l="1"/>
  <c r="M212" i="2"/>
  <c r="M223" i="2" s="1"/>
  <c r="M300" i="2"/>
  <c r="M301" i="2" s="1"/>
  <c r="K301" i="2"/>
  <c r="M288" i="2"/>
  <c r="M289" i="2" s="1"/>
  <c r="M290" i="2" s="1"/>
  <c r="K289" i="2"/>
  <c r="K290" i="2" s="1"/>
  <c r="M197" i="2"/>
  <c r="M211" i="2" s="1"/>
  <c r="K211" i="2"/>
  <c r="H224" i="2"/>
  <c r="H272" i="2" s="1"/>
  <c r="H302" i="2" s="1"/>
  <c r="M175" i="2"/>
  <c r="M187" i="2" s="1"/>
  <c r="K187" i="2"/>
  <c r="M173" i="2"/>
  <c r="M174" i="2" s="1"/>
  <c r="K174" i="2"/>
  <c r="H42" i="2"/>
  <c r="H43" i="2" s="1"/>
  <c r="M291" i="2"/>
  <c r="M298" i="2" s="1"/>
  <c r="M299" i="2" s="1"/>
  <c r="K298" i="2"/>
  <c r="K299" i="2" s="1"/>
  <c r="M267" i="2"/>
  <c r="M271" i="2" s="1"/>
  <c r="K271" i="2"/>
  <c r="M265" i="2"/>
  <c r="M266" i="2" s="1"/>
  <c r="K266" i="2"/>
  <c r="M257" i="2"/>
  <c r="M262" i="2" s="1"/>
  <c r="K262" i="2"/>
  <c r="M252" i="2"/>
  <c r="M256" i="2" s="1"/>
  <c r="K256" i="2"/>
  <c r="M245" i="2"/>
  <c r="M250" i="2" s="1"/>
  <c r="K250" i="2"/>
  <c r="M237" i="2"/>
  <c r="M242" i="2" s="1"/>
  <c r="K242" i="2"/>
  <c r="K156" i="2"/>
  <c r="E16" i="2"/>
  <c r="M157" i="2"/>
  <c r="M162" i="2" s="1"/>
  <c r="K145" i="2"/>
  <c r="M138" i="2"/>
  <c r="M145" i="2" s="1"/>
  <c r="M133" i="2"/>
  <c r="M134" i="2" s="1"/>
  <c r="K134" i="2"/>
  <c r="K66" i="2"/>
  <c r="M58" i="2"/>
  <c r="M66" i="2" s="1"/>
  <c r="H16" i="2"/>
  <c r="M131" i="2"/>
  <c r="M132" i="2" s="1"/>
  <c r="K132" i="2"/>
  <c r="M42" i="2"/>
  <c r="M43" i="2" s="1"/>
  <c r="K42" i="2"/>
  <c r="K43" i="2" s="1"/>
  <c r="M16" i="2"/>
  <c r="M224" i="2" l="1"/>
  <c r="M272" i="2" s="1"/>
  <c r="M302" i="2" s="1"/>
  <c r="K224" i="2"/>
  <c r="K272" i="2" s="1"/>
  <c r="K302" i="2" s="1"/>
  <c r="I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E130" i="2"/>
  <c r="F130" i="2"/>
  <c r="G130" i="2"/>
  <c r="H130" i="2"/>
  <c r="I130" i="2"/>
  <c r="J130" i="2"/>
  <c r="K130" i="2"/>
  <c r="L130" i="2"/>
  <c r="M130" i="2"/>
  <c r="F137" i="2"/>
  <c r="G137" i="2"/>
  <c r="H137" i="2"/>
  <c r="I137" i="2"/>
  <c r="J137" i="2"/>
  <c r="K137" i="2"/>
  <c r="L137" i="2"/>
  <c r="M137" i="2"/>
  <c r="B5" i="6"/>
  <c r="C5" i="6"/>
  <c r="D5" i="6"/>
  <c r="D6" i="6" s="1"/>
  <c r="E5" i="6"/>
  <c r="E6" i="6" s="1"/>
  <c r="B6" i="6"/>
  <c r="C6" i="6"/>
  <c r="F6" i="6" l="1"/>
  <c r="E73" i="2"/>
  <c r="F73" i="2"/>
  <c r="G73" i="2"/>
  <c r="H73" i="2"/>
  <c r="I73" i="2"/>
  <c r="J73" i="2"/>
  <c r="K73" i="2"/>
  <c r="L73" i="2"/>
  <c r="M73" i="2"/>
  <c r="E83" i="2"/>
  <c r="F83" i="2"/>
  <c r="G83" i="2"/>
  <c r="H83" i="2"/>
  <c r="I83" i="2"/>
  <c r="J83" i="2"/>
  <c r="K83" i="2"/>
  <c r="L83" i="2"/>
  <c r="M83" i="2"/>
  <c r="E84" i="2"/>
  <c r="F84" i="2"/>
  <c r="G84" i="2"/>
  <c r="H84" i="2"/>
  <c r="I84" i="2"/>
  <c r="J84" i="2"/>
  <c r="K84" i="2"/>
  <c r="L84" i="2"/>
  <c r="M84" i="2"/>
  <c r="E96" i="2"/>
  <c r="F96" i="2"/>
  <c r="G96" i="2"/>
  <c r="H96" i="2"/>
  <c r="I96" i="2"/>
  <c r="J96" i="2"/>
  <c r="K96" i="2"/>
  <c r="L96" i="2"/>
  <c r="M96" i="2"/>
  <c r="E106" i="2"/>
  <c r="F106" i="2"/>
  <c r="G106" i="2"/>
  <c r="H106" i="2"/>
  <c r="I106" i="2"/>
  <c r="J106" i="2"/>
  <c r="K106" i="2"/>
  <c r="L106" i="2"/>
  <c r="M106" i="2"/>
  <c r="E167" i="2"/>
  <c r="F167" i="2"/>
  <c r="G167" i="2"/>
  <c r="H167" i="2"/>
  <c r="I167" i="2"/>
  <c r="J167" i="2"/>
  <c r="K167" i="2"/>
  <c r="L167" i="2"/>
  <c r="M167" i="2"/>
  <c r="E168" i="2"/>
  <c r="F168" i="2"/>
  <c r="G168" i="2"/>
  <c r="H168" i="2"/>
  <c r="I168" i="2"/>
  <c r="J168" i="2"/>
  <c r="K168" i="2"/>
  <c r="L168" i="2"/>
  <c r="M168" i="2"/>
  <c r="E73" i="4"/>
  <c r="F73" i="4"/>
  <c r="G73" i="4"/>
  <c r="H73" i="4"/>
  <c r="I73" i="4"/>
  <c r="E83" i="4"/>
  <c r="F83" i="4"/>
  <c r="G83" i="4"/>
  <c r="H83" i="4"/>
  <c r="I83" i="4"/>
  <c r="E84" i="4"/>
  <c r="F84" i="4"/>
  <c r="G84" i="4"/>
  <c r="H84" i="4"/>
  <c r="I84" i="4"/>
  <c r="E96" i="4"/>
  <c r="F96" i="4"/>
  <c r="G96" i="4"/>
  <c r="H96" i="4"/>
  <c r="I96" i="4"/>
  <c r="E106" i="4"/>
  <c r="F106" i="4"/>
  <c r="G106" i="4"/>
  <c r="H106" i="4"/>
  <c r="I106" i="4"/>
  <c r="E137" i="4"/>
  <c r="F137" i="4"/>
  <c r="G137" i="4"/>
  <c r="H137" i="4"/>
  <c r="I137" i="4"/>
  <c r="E167" i="4"/>
  <c r="F167" i="4"/>
  <c r="G167" i="4"/>
  <c r="H167" i="4"/>
  <c r="I167" i="4"/>
  <c r="E168" i="4"/>
  <c r="F168" i="4"/>
  <c r="G168" i="4"/>
  <c r="H168" i="4"/>
  <c r="I168" i="4"/>
  <c r="B7" i="6"/>
  <c r="C7" i="6"/>
  <c r="D7" i="6"/>
  <c r="E7" i="6"/>
  <c r="F7" i="6"/>
  <c r="B9" i="6"/>
  <c r="C9" i="6"/>
  <c r="D9" i="6"/>
  <c r="E9" i="6"/>
  <c r="F9" i="6"/>
  <c r="B10" i="6"/>
  <c r="C10" i="6"/>
  <c r="D10" i="6"/>
  <c r="E10" i="6"/>
  <c r="F10" i="6"/>
  <c r="B11" i="6"/>
  <c r="C11" i="6"/>
  <c r="D11" i="6"/>
  <c r="E11" i="6"/>
  <c r="F11" i="6"/>
  <c r="B12" i="6"/>
  <c r="C12" i="6"/>
  <c r="D12" i="6"/>
  <c r="E12" i="6"/>
  <c r="F12" i="6"/>
  <c r="B13" i="6"/>
  <c r="C13" i="6"/>
  <c r="D13" i="6"/>
  <c r="E13" i="6"/>
  <c r="F13" i="6"/>
  <c r="B15" i="6"/>
  <c r="C15" i="6"/>
  <c r="D15" i="6"/>
  <c r="E15" i="6"/>
  <c r="F15" i="6"/>
  <c r="B16" i="6"/>
  <c r="C16" i="6"/>
  <c r="D16" i="6"/>
  <c r="E16" i="6"/>
  <c r="F16" i="6"/>
  <c r="B21" i="6"/>
  <c r="C21" i="6"/>
  <c r="D21" i="6"/>
  <c r="E21" i="6"/>
  <c r="F21" i="6"/>
  <c r="B23" i="6"/>
  <c r="C23" i="6"/>
  <c r="D23" i="6"/>
  <c r="E23" i="6"/>
  <c r="F23" i="6"/>
  <c r="B24" i="6"/>
  <c r="C24" i="6"/>
  <c r="D24" i="6"/>
  <c r="E24" i="6"/>
  <c r="F24" i="6"/>
  <c r="B28" i="6"/>
  <c r="C28" i="6"/>
  <c r="D28" i="6"/>
  <c r="E28" i="6"/>
  <c r="F28" i="6"/>
  <c r="B30" i="6"/>
  <c r="C30" i="6"/>
  <c r="D30" i="6"/>
  <c r="E30" i="6"/>
  <c r="F30" i="6"/>
</calcChain>
</file>

<file path=xl/sharedStrings.xml><?xml version="1.0" encoding="utf-8"?>
<sst xmlns="http://schemas.openxmlformats.org/spreadsheetml/2006/main" count="978" uniqueCount="380">
  <si>
    <t>FERC Acct #</t>
  </si>
  <si>
    <t>Total sales to ultimate customers</t>
  </si>
  <si>
    <t>Provision for rate refunds</t>
  </si>
  <si>
    <t>Total revenues net of provision for rate refunds</t>
  </si>
  <si>
    <t>901, 902, 903, 904, 905</t>
  </si>
  <si>
    <t>907, 908, 909, 910</t>
  </si>
  <si>
    <t>Total administrative and general expenses</t>
  </si>
  <si>
    <t>920, 921, 922, 923, 924, 925, 926, 927, 928, 929, 930.1, 930.2, 931</t>
  </si>
  <si>
    <t>Total depreciation</t>
  </si>
  <si>
    <t>403, 403.1</t>
  </si>
  <si>
    <t>Depreciation expense transmission</t>
  </si>
  <si>
    <t>Depreciation expense distribution</t>
  </si>
  <si>
    <t>Depreciation expense general plant</t>
  </si>
  <si>
    <t>Depreciation expense common</t>
  </si>
  <si>
    <t>Total depreciation expenses</t>
  </si>
  <si>
    <t>Intangible plant</t>
  </si>
  <si>
    <t>404, 405</t>
  </si>
  <si>
    <t>Total amortization expenses</t>
  </si>
  <si>
    <t>Regulatory debits and credits</t>
  </si>
  <si>
    <t xml:space="preserve">Regulatory debits and credits </t>
  </si>
  <si>
    <t>407.3, 407.4</t>
  </si>
  <si>
    <t>Total regulatory debits and credits</t>
  </si>
  <si>
    <t>Taxes</t>
  </si>
  <si>
    <t xml:space="preserve">Taxes other than income </t>
  </si>
  <si>
    <t>Provision for deferred income taxes</t>
  </si>
  <si>
    <t>410.1 - 411.1</t>
  </si>
  <si>
    <t>Total taxes</t>
  </si>
  <si>
    <t>411.6, 411.7, 411.8, 411.9, 412, 413, 414</t>
  </si>
  <si>
    <t>Total various utility operating income items</t>
  </si>
  <si>
    <t xml:space="preserve">Intangible plant </t>
  </si>
  <si>
    <t xml:space="preserve">Transmission plant </t>
  </si>
  <si>
    <t xml:space="preserve">Distribution plant </t>
  </si>
  <si>
    <t xml:space="preserve">General plant </t>
  </si>
  <si>
    <t>Property under capital leases</t>
  </si>
  <si>
    <t>Total property under capital leases</t>
  </si>
  <si>
    <t>Completed construction not classified</t>
  </si>
  <si>
    <t>Total completed construction not classified</t>
  </si>
  <si>
    <t>Construction work in progress</t>
  </si>
  <si>
    <t>Total construction work in progress</t>
  </si>
  <si>
    <t>Electric plant acquisition adjustments</t>
  </si>
  <si>
    <t>Prepayments</t>
  </si>
  <si>
    <t>Total current and accrued assets</t>
  </si>
  <si>
    <t>Deferred debits</t>
  </si>
  <si>
    <t>Other regulatory assets</t>
  </si>
  <si>
    <t>Miscellaneous deferred debits</t>
  </si>
  <si>
    <t>Accumulated deferred income taxes</t>
  </si>
  <si>
    <t>Other non current liabilities</t>
  </si>
  <si>
    <t>Accumulated provision for property insurance</t>
  </si>
  <si>
    <t>Accumulated provision for injuries and damages</t>
  </si>
  <si>
    <t>Accumulated provision for pensions and benefits</t>
  </si>
  <si>
    <t>Accumulated miscellaneous operating provisions</t>
  </si>
  <si>
    <t>Customer deposits</t>
  </si>
  <si>
    <t>Current and accrued liabilities</t>
  </si>
  <si>
    <t>Deferred  credits</t>
  </si>
  <si>
    <t>Accumulated deferred income taxes—Accelerated amortization property.</t>
  </si>
  <si>
    <t>Accumulated deferred income taxes—Other property</t>
  </si>
  <si>
    <t>Accumulated deferred income taxes—Other</t>
  </si>
  <si>
    <t>Accumulated deferred investment tax credits.</t>
  </si>
  <si>
    <t>Customer advances for construction</t>
  </si>
  <si>
    <t>Other regulatory liabilities</t>
  </si>
  <si>
    <t>Total deferred credits</t>
  </si>
  <si>
    <t>Working capital allowance</t>
  </si>
  <si>
    <t>Total working capital allowance</t>
  </si>
  <si>
    <t>Total rate base</t>
  </si>
  <si>
    <t>Deferred credits</t>
  </si>
  <si>
    <t>Restating Adjustment 1</t>
  </si>
  <si>
    <t>Restating Adjustment N</t>
  </si>
  <si>
    <t>Restated Results of Operations</t>
  </si>
  <si>
    <t>Proforma Adjustment 1</t>
  </si>
  <si>
    <t>Proforma Adjustment N</t>
  </si>
  <si>
    <t>Proforma Adjusted Results of Operations</t>
  </si>
  <si>
    <t>Schedule X</t>
  </si>
  <si>
    <t>Instructions</t>
  </si>
  <si>
    <t>Schedule X2</t>
  </si>
  <si>
    <t>Schedule X3</t>
  </si>
  <si>
    <t>Schedule X4</t>
  </si>
  <si>
    <t>Acronym</t>
  </si>
  <si>
    <t>TOTAL</t>
  </si>
  <si>
    <t>Costs</t>
  </si>
  <si>
    <t>Description</t>
  </si>
  <si>
    <t>Transmission expenses</t>
  </si>
  <si>
    <t>Allocates transmission expenses on a peak-and average basis</t>
  </si>
  <si>
    <t>TR1</t>
  </si>
  <si>
    <t>Parity Ratios</t>
  </si>
  <si>
    <t>At current rates</t>
  </si>
  <si>
    <t>Total Washington CBR/ROO</t>
  </si>
  <si>
    <t>Total adjustments</t>
  </si>
  <si>
    <t>ERM Adjustment</t>
  </si>
  <si>
    <t>Adjusted results of operations</t>
  </si>
  <si>
    <t>Revenue requirement deficiency</t>
  </si>
  <si>
    <t>Revenue requirement deficiency after rate increase</t>
  </si>
  <si>
    <t>Revenue requirement deficiency/sufficiency</t>
  </si>
  <si>
    <t>Adjustment number</t>
  </si>
  <si>
    <t>Line No.</t>
  </si>
  <si>
    <t>Total debits and credits expenses</t>
  </si>
  <si>
    <t>Various utility operating income items</t>
  </si>
  <si>
    <t>Other income and deductions</t>
  </si>
  <si>
    <t>Net operating income</t>
  </si>
  <si>
    <t>Transmission plant</t>
  </si>
  <si>
    <t xml:space="preserve">Property under capital leases </t>
  </si>
  <si>
    <t>Current and accrued assets</t>
  </si>
  <si>
    <t>Rate base</t>
  </si>
  <si>
    <t>Rate base check</t>
  </si>
  <si>
    <t>Return on Rate Base</t>
  </si>
  <si>
    <t>Revenue Requirement</t>
  </si>
  <si>
    <t>XXXXX</t>
  </si>
  <si>
    <t>NOI</t>
  </si>
  <si>
    <t>Change in rates</t>
  </si>
  <si>
    <t>* Any K-factor, attrition or escalation for rate plans should be done in a separate document attached to this Form</t>
  </si>
  <si>
    <t>Total natural gas operating revenues</t>
  </si>
  <si>
    <t>Intracompany transfers</t>
  </si>
  <si>
    <t>Total sales of gas</t>
  </si>
  <si>
    <t>Revenues from transportation of gas</t>
  </si>
  <si>
    <t>489.1, 489.2, 489.3</t>
  </si>
  <si>
    <t>Revenues from storing gas of others</t>
  </si>
  <si>
    <t>490, 491, 492, 493, 494, 495, 496</t>
  </si>
  <si>
    <t>Total production expenses</t>
  </si>
  <si>
    <t>Manufactured gas production</t>
  </si>
  <si>
    <t>Manufactured gas production operation</t>
  </si>
  <si>
    <t>Manufactured gas production labor and expenses</t>
  </si>
  <si>
    <t>711, 712, 713, 714, 715, 716, 717, 718</t>
  </si>
  <si>
    <t>Manufactured gas production gas fuels</t>
  </si>
  <si>
    <t>719, 720, 721, 722, 723, 724</t>
  </si>
  <si>
    <t>Manufactured gas production gas raw materials</t>
  </si>
  <si>
    <t>725, 726, 727, 728, 728, 729, 730, 731, 732, 733, 734 735, 736</t>
  </si>
  <si>
    <t>Manufactured gas production maintenance</t>
  </si>
  <si>
    <t>740, 741, 742</t>
  </si>
  <si>
    <t>Total manufactured gas production expenses</t>
  </si>
  <si>
    <t>Other gas supply expenses</t>
  </si>
  <si>
    <t>Total other gas supply expenses</t>
  </si>
  <si>
    <t>Underground storage expenses - Operation</t>
  </si>
  <si>
    <t>Underground storage expenses - Maintenance</t>
  </si>
  <si>
    <t>Other storage expenses - operation</t>
  </si>
  <si>
    <t>Other storage expenses - maintenance</t>
  </si>
  <si>
    <t>Transmission expenses - operation</t>
  </si>
  <si>
    <t>Transmission expenses - maintenance</t>
  </si>
  <si>
    <t>Distribution expenses - operation</t>
  </si>
  <si>
    <t>Total distribution expenses - operation</t>
  </si>
  <si>
    <t>Distribution expenses - maintenance</t>
  </si>
  <si>
    <t>Total distribution expenses - maintenance</t>
  </si>
  <si>
    <t>Total administrative and general  expenses</t>
  </si>
  <si>
    <t>Depreciation expense</t>
  </si>
  <si>
    <t>Depreciation expense production</t>
  </si>
  <si>
    <t xml:space="preserve">Depreciation expense storage and terminaling </t>
  </si>
  <si>
    <t>Amortization and depletion of producing natural gas land and land</t>
  </si>
  <si>
    <t>Amortization of property losses, unrecovered plant and regulatory</t>
  </si>
  <si>
    <t>Various other income and deduction items</t>
  </si>
  <si>
    <t>Total other income and deductions</t>
  </si>
  <si>
    <t>Natural gas plant in service</t>
  </si>
  <si>
    <t xml:space="preserve">Total Intangible plant </t>
  </si>
  <si>
    <t>Underground storage plant</t>
  </si>
  <si>
    <t>Total underground storage plant</t>
  </si>
  <si>
    <t>Transmission Plant</t>
  </si>
  <si>
    <t>Distribution plant</t>
  </si>
  <si>
    <t>Other property on customers' premises.</t>
  </si>
  <si>
    <t xml:space="preserve">Total distribution plant </t>
  </si>
  <si>
    <t>General plant</t>
  </si>
  <si>
    <t xml:space="preserve">Total general plant </t>
  </si>
  <si>
    <t>Total natural gas plant in service</t>
  </si>
  <si>
    <t xml:space="preserve">Underground storage plant </t>
  </si>
  <si>
    <t>Natural gas plant leased to others</t>
  </si>
  <si>
    <t>Total natural gas plant leased to others</t>
  </si>
  <si>
    <t>Natural gas plant held for future use</t>
  </si>
  <si>
    <t>Total natural gas plant for future use</t>
  </si>
  <si>
    <t>Accumulated provision for depreciation of natural gas utility plant</t>
  </si>
  <si>
    <t>Accumulated provision for amortization of natural gas utility plant</t>
  </si>
  <si>
    <t xml:space="preserve">Natural gas </t>
  </si>
  <si>
    <t>Gas stored - base gas</t>
  </si>
  <si>
    <t>System balancing gas</t>
  </si>
  <si>
    <t>Gas stored in reservoirs and pipelines - noncurrent</t>
  </si>
  <si>
    <t>Gas owed to system gas</t>
  </si>
  <si>
    <t>Total deferred debits</t>
  </si>
  <si>
    <t>Accumulated provision for rate refunds</t>
  </si>
  <si>
    <t>Total current and accrued liabilities</t>
  </si>
  <si>
    <t>Natural gas Results of Operations</t>
  </si>
  <si>
    <t>Total sales of natural gas</t>
  </si>
  <si>
    <t xml:space="preserve">Total natural gas operating revenues </t>
  </si>
  <si>
    <t>Underground storage expenses - operation</t>
  </si>
  <si>
    <t>Underground storage expenses - maintenance</t>
  </si>
  <si>
    <t>Total natural gas storage, terminaling and processing expenses</t>
  </si>
  <si>
    <t>Total transmission expenses</t>
  </si>
  <si>
    <t>Total distribution expenses</t>
  </si>
  <si>
    <t>Total customer account expenses</t>
  </si>
  <si>
    <t>Total natural gas administrative and general expenses</t>
  </si>
  <si>
    <t>Total customer service and informational expenses</t>
  </si>
  <si>
    <t>Total natural gas operating expenses</t>
  </si>
  <si>
    <t>Accumulated provision for depreciation of natural gas plant</t>
  </si>
  <si>
    <t>Natural gas plant acquisition adjustments</t>
  </si>
  <si>
    <t>Accumulated provision for asset acquisition adjustments</t>
  </si>
  <si>
    <t>Commodity - natural gas</t>
  </si>
  <si>
    <t>Other deferred credits</t>
  </si>
  <si>
    <t>Do we want to have another tab that tells the functionalization/classification/allocation method used for the few accounts we didn't identify in the rule?</t>
  </si>
  <si>
    <t>Elaine Questions/Comments</t>
  </si>
  <si>
    <t>Do we need to have both the Company RR and RR Cross-Reference? I know RR cross-reference for sure, but is the company RR necessary?</t>
  </si>
  <si>
    <t>Administrative note, the electric and gas forms should had different identifiers</t>
  </si>
  <si>
    <t>Total natural gas operating and maintenance expenses</t>
  </si>
  <si>
    <t>Total amortization</t>
  </si>
  <si>
    <t>Customer account expenses</t>
  </si>
  <si>
    <t xml:space="preserve">GAS COST OF SERVICE TEMPLATE </t>
  </si>
  <si>
    <t>GCOST</t>
  </si>
  <si>
    <r>
      <rPr>
        <b/>
        <sz val="11"/>
        <color theme="1"/>
        <rFont val="Calibri"/>
        <family val="2"/>
      </rPr>
      <t xml:space="preserve">Tab A - Company's RR: </t>
    </r>
    <r>
      <rPr>
        <sz val="11"/>
        <color theme="1"/>
        <rFont val="Calibri"/>
        <family val="2"/>
        <scheme val="minor"/>
      </rPr>
      <t xml:space="preserve"> Company's revenue requirement calculation as presented.</t>
    </r>
  </si>
  <si>
    <r>
      <rPr>
        <b/>
        <sz val="11"/>
        <color theme="1"/>
        <rFont val="Calibri"/>
        <family val="2"/>
      </rPr>
      <t xml:space="preserve">Tab B - RR Cross-reference: </t>
    </r>
    <r>
      <rPr>
        <sz val="11"/>
        <color theme="1"/>
        <rFont val="Calibri"/>
        <family val="2"/>
        <scheme val="minor"/>
      </rPr>
      <t xml:space="preserve"> Presents the company's revenue requirement calculation per FERC account, including each adjustment. </t>
    </r>
  </si>
  <si>
    <r>
      <rPr>
        <b/>
        <sz val="11"/>
        <color theme="1"/>
        <rFont val="Calibri"/>
        <family val="2"/>
      </rPr>
      <t xml:space="preserve">Tab C - Cost of service results: </t>
    </r>
    <r>
      <rPr>
        <sz val="11"/>
        <color theme="1"/>
        <rFont val="Calibri"/>
        <family val="2"/>
        <scheme val="minor"/>
      </rPr>
      <t xml:space="preserve"> Presents total amount of costs by rate schedule on FERC account level.</t>
    </r>
  </si>
  <si>
    <r>
      <rPr>
        <b/>
        <sz val="11"/>
        <color theme="1"/>
        <rFont val="Calibri"/>
        <family val="2"/>
      </rPr>
      <t xml:space="preserve">Tab D - Cost of service allocation factors: </t>
    </r>
    <r>
      <rPr>
        <sz val="11"/>
        <color theme="1"/>
        <rFont val="Calibri"/>
        <family val="2"/>
        <scheme val="minor"/>
      </rPr>
      <t xml:space="preserve"> Presents the ratios used to allocate cost  by rate schedule on FERC account level.</t>
    </r>
  </si>
  <si>
    <r>
      <rPr>
        <b/>
        <sz val="11"/>
        <color theme="1"/>
        <rFont val="Calibri"/>
        <family val="2"/>
      </rPr>
      <t xml:space="preserve">Tab E - Cost of service parity ratios tab: </t>
    </r>
    <r>
      <rPr>
        <sz val="11"/>
        <color theme="1"/>
        <rFont val="Calibri"/>
        <family val="2"/>
        <scheme val="minor"/>
      </rPr>
      <t xml:space="preserve"> Presents the ratios that indicate how much of the costs is borne by each rate schedule on FERC account level.</t>
    </r>
  </si>
  <si>
    <t>Residential sales</t>
  </si>
  <si>
    <t>Commercial and industrial sales</t>
  </si>
  <si>
    <t>Other sales to public authorities</t>
  </si>
  <si>
    <t>Sales for resale</t>
  </si>
  <si>
    <t>Interdepartmental sales</t>
  </si>
  <si>
    <t>Other operating revenues less provision for rate refunds</t>
  </si>
  <si>
    <t>Manufactured gas production expenses</t>
  </si>
  <si>
    <t>Amortization of underground storage land and land rights</t>
  </si>
  <si>
    <t>Amortization of other limited-term gas plant</t>
  </si>
  <si>
    <t>Amortization of other gas plant</t>
  </si>
  <si>
    <t>Amortization of gas plant acquisition adjustments</t>
  </si>
  <si>
    <t>Amortization of conversion expense</t>
  </si>
  <si>
    <t>Income taxes - federal taxes utility operating income</t>
  </si>
  <si>
    <t>Income taxes - other taxes utility operating income</t>
  </si>
  <si>
    <t>Investment tax credit adjustment</t>
  </si>
  <si>
    <t>Total net natural gas plant</t>
  </si>
  <si>
    <t>Accumulated deferred income taxes - accelerated amortization property</t>
  </si>
  <si>
    <t>Accumulated deferred income taxes - other property</t>
  </si>
  <si>
    <t>Accumulated deferred income taxes - other</t>
  </si>
  <si>
    <t>Accumulated deferred investment tax credits</t>
  </si>
  <si>
    <t>Adjusted results of operations non-energy related</t>
  </si>
  <si>
    <t>Gas Costs</t>
  </si>
  <si>
    <t>Total proforma adjustments</t>
  </si>
  <si>
    <t>Proforma adjustment ABC</t>
  </si>
  <si>
    <t>Total restating adjustments</t>
  </si>
  <si>
    <t>Restating adjustment ABC</t>
  </si>
  <si>
    <t>Revenue Requirement after Rate Change</t>
  </si>
  <si>
    <t>Other operating revenues</t>
  </si>
  <si>
    <t>Total other operating revenues</t>
  </si>
  <si>
    <t>Natural gas well head purchases</t>
  </si>
  <si>
    <t>Natural gas well head purchases, intracompany transfers</t>
  </si>
  <si>
    <t>Natural gas field line purchases</t>
  </si>
  <si>
    <t>Natural gas gasoline plant outlet purchases</t>
  </si>
  <si>
    <t>Natural gas transmission line purchases</t>
  </si>
  <si>
    <t>Natural gas city gate purchases</t>
  </si>
  <si>
    <t>Liquefied natural gas purchases</t>
  </si>
  <si>
    <t>Other gas purchases</t>
  </si>
  <si>
    <t>Purchased gas cost adjustments</t>
  </si>
  <si>
    <t>Exchange gas</t>
  </si>
  <si>
    <t>Purchased gas expenses</t>
  </si>
  <si>
    <t>Gas withdrawn from storage - debit</t>
  </si>
  <si>
    <t>Gas delivered to storage - credit</t>
  </si>
  <si>
    <t>Withdrawals of liquefied natural gas held for processing - debt</t>
  </si>
  <si>
    <t>Deliveries of natural gas for processing - credit</t>
  </si>
  <si>
    <t>Gas used for compressor station fuel - credit</t>
  </si>
  <si>
    <t>Gas used for products extraction - credit</t>
  </si>
  <si>
    <t>Gas used for other utility operations - credit</t>
  </si>
  <si>
    <t>Operation supervision and engineering</t>
  </si>
  <si>
    <t>Maps and records</t>
  </si>
  <si>
    <t>Wells expenses</t>
  </si>
  <si>
    <t>Lines expenses</t>
  </si>
  <si>
    <t>Compressor station expenses</t>
  </si>
  <si>
    <t>Compressor station fuel and power</t>
  </si>
  <si>
    <t>Measuring and regulating station expenses</t>
  </si>
  <si>
    <t>Purification expenses</t>
  </si>
  <si>
    <t>Exploration and development</t>
  </si>
  <si>
    <t>Gas losses</t>
  </si>
  <si>
    <t>Other expenses</t>
  </si>
  <si>
    <t>Storage well royalties</t>
  </si>
  <si>
    <t>Rents</t>
  </si>
  <si>
    <t>Total underground storage expenses - operation</t>
  </si>
  <si>
    <t>Maintenance supervision and engineering</t>
  </si>
  <si>
    <t>Maintenance of structures and improvements</t>
  </si>
  <si>
    <t>Maintenance of reservoirs and wells</t>
  </si>
  <si>
    <t>Maintenance of lines</t>
  </si>
  <si>
    <t>Maintenance of compressor station equipment</t>
  </si>
  <si>
    <t>Maintenance of measuring and regulating station equipment</t>
  </si>
  <si>
    <t>Maintenance of purification equipment</t>
  </si>
  <si>
    <t>Maintenance of other equipment</t>
  </si>
  <si>
    <t>Total underground storage expenses - maintenance</t>
  </si>
  <si>
    <t>Operation labor and expenses</t>
  </si>
  <si>
    <t>Fuel</t>
  </si>
  <si>
    <t>Power</t>
  </si>
  <si>
    <t>Maintenance of gas holders</t>
  </si>
  <si>
    <t>Maintenance of liquefaction equipment</t>
  </si>
  <si>
    <t>Maintenance of vaporizing equipment</t>
  </si>
  <si>
    <t>Maintenance of compressor equipment</t>
  </si>
  <si>
    <t>Maintenance of measuring and regulating equipment</t>
  </si>
  <si>
    <t>System control and load dispatching</t>
  </si>
  <si>
    <t>Communication system expenses</t>
  </si>
  <si>
    <t>Compressor station labor and expenses</t>
  </si>
  <si>
    <t>Gas for compressor station fuel</t>
  </si>
  <si>
    <t>Other fuel and power for compressor stations</t>
  </si>
  <si>
    <t>Mains expenses</t>
  </si>
  <si>
    <t>Transmission and compression of gas by others</t>
  </si>
  <si>
    <t>Maintenance of mains</t>
  </si>
  <si>
    <t>Maintenance of communication equipment</t>
  </si>
  <si>
    <t>Distribution load dispatching</t>
  </si>
  <si>
    <t>Compressor station fuel and power (major only)</t>
  </si>
  <si>
    <t>Mains and services expenses</t>
  </si>
  <si>
    <t>Measuring and regulating station expenses - general</t>
  </si>
  <si>
    <t>Measuring and regulating station expenses - industrial</t>
  </si>
  <si>
    <t>Measuring and regulating station expenses - city gate check stations</t>
  </si>
  <si>
    <t>Meter and house regulator expenses</t>
  </si>
  <si>
    <t>Customer installations expenses</t>
  </si>
  <si>
    <t>Maintenance of measuring and regulating station equipment - general</t>
  </si>
  <si>
    <t>Maintenance of measuring and regulating station equipment - industrial</t>
  </si>
  <si>
    <t>Maintenance of measuring and regulating station equipment - city gate</t>
  </si>
  <si>
    <t>Maintenance of services</t>
  </si>
  <si>
    <t>Maintenance of meters and house regulators</t>
  </si>
  <si>
    <t>Customer service and informational expenses</t>
  </si>
  <si>
    <t>Administrative and general operation expenses</t>
  </si>
  <si>
    <t>Natural gas operating expenses</t>
  </si>
  <si>
    <t>Net operating income =natural gas operating revenues - natural gas operating expenses</t>
  </si>
  <si>
    <t>Organization</t>
  </si>
  <si>
    <t>Franchises and consents</t>
  </si>
  <si>
    <t>Miscellaneous intangible plant</t>
  </si>
  <si>
    <t>Land</t>
  </si>
  <si>
    <t>Rights-of-way</t>
  </si>
  <si>
    <t>Structures and improvements</t>
  </si>
  <si>
    <t>Wells</t>
  </si>
  <si>
    <t>Storage leaseholds and rights</t>
  </si>
  <si>
    <t>Reservoirs</t>
  </si>
  <si>
    <t>Nonrecoverable natural gas</t>
  </si>
  <si>
    <t>Lines</t>
  </si>
  <si>
    <t>Compressor station equipment</t>
  </si>
  <si>
    <t>Measuring and regulating equipment</t>
  </si>
  <si>
    <t>Purification equipment</t>
  </si>
  <si>
    <t>Other equipment</t>
  </si>
  <si>
    <t>Land and land rights</t>
  </si>
  <si>
    <t>Mains</t>
  </si>
  <si>
    <t>Measuring and regulating station equipment</t>
  </si>
  <si>
    <t>Communication equipment</t>
  </si>
  <si>
    <t xml:space="preserve">Total transmission plant </t>
  </si>
  <si>
    <t>Measuring and regulating station equipment - general</t>
  </si>
  <si>
    <t>Measuring and regulating station equipment - city gate check stations</t>
  </si>
  <si>
    <t>Services</t>
  </si>
  <si>
    <t>Meters</t>
  </si>
  <si>
    <t>Meter installations</t>
  </si>
  <si>
    <t>House regulators</t>
  </si>
  <si>
    <t>House regulatory installations</t>
  </si>
  <si>
    <t>Industrial measuring and regulating station equipment</t>
  </si>
  <si>
    <t>Other property on customers' premises</t>
  </si>
  <si>
    <t>Office furniture and equipment</t>
  </si>
  <si>
    <t>Transportation equipment</t>
  </si>
  <si>
    <t>Stores equipment</t>
  </si>
  <si>
    <t>Tools, shop and garage equipment</t>
  </si>
  <si>
    <t>Laboratory equipment</t>
  </si>
  <si>
    <t>Power operated equipment</t>
  </si>
  <si>
    <t>Miscellaneous equipment</t>
  </si>
  <si>
    <t>Other tangible property</t>
  </si>
  <si>
    <t>Total accumulated provision for depreciation of natural gas utility plant</t>
  </si>
  <si>
    <t>Total accumulated provision for amortization of natural gas utility plant</t>
  </si>
  <si>
    <t>Total accumulated provision for asset acquisition adjustments</t>
  </si>
  <si>
    <t>Total net plant</t>
  </si>
  <si>
    <t>Total prepayments</t>
  </si>
  <si>
    <t>Total non current liabilities</t>
  </si>
  <si>
    <t>Total natural gas Storage, terminaling and processing expenses</t>
  </si>
  <si>
    <t>Amortization and depletion of producing natural gas land and land rights</t>
  </si>
  <si>
    <t>Net operating income = natural gas operating revenues - natural gas operating expenses</t>
  </si>
  <si>
    <t xml:space="preserve">Total intangible plant </t>
  </si>
  <si>
    <t>Total natural gas plant acquisition adjustments</t>
  </si>
  <si>
    <t>Revenue Requirement Sufficiency/ Deficiency</t>
  </si>
  <si>
    <t>Rate Base</t>
  </si>
  <si>
    <t>Return Requirement</t>
  </si>
  <si>
    <t>Incremental Revenue Related Expenses</t>
  </si>
  <si>
    <t>Incremental Income Taxes</t>
  </si>
  <si>
    <t>Total Cost/Revenue Requirement at Unity</t>
  </si>
  <si>
    <t>Present Revenue from Rates</t>
  </si>
  <si>
    <t>Revenue-to-Cost Ratio at Present Rates</t>
  </si>
  <si>
    <t>Parity Ratio at Present Rates</t>
  </si>
  <si>
    <t>Proposed Revenue from Rates</t>
  </si>
  <si>
    <t>Revenue-to Cost Ratio at Proposed Rates</t>
  </si>
  <si>
    <t>Parity Ratio at Proposed Rates</t>
  </si>
  <si>
    <t>Total</t>
  </si>
  <si>
    <t>Total Operating Expenses (net of non-rate revenues)</t>
  </si>
  <si>
    <t>Proposed Rate Revenue Increase</t>
  </si>
  <si>
    <t>Proposed Rate of Return</t>
  </si>
  <si>
    <t>Net Income From Present Rates</t>
  </si>
  <si>
    <t>Net Income Deficiency(Sufficiency)</t>
  </si>
  <si>
    <t>Variance from Unity</t>
  </si>
  <si>
    <t>variance due to re-allocation of all conversion factor items</t>
  </si>
  <si>
    <t>as compared to multiplying net income deficiency by ratio of total conversion factor components</t>
  </si>
  <si>
    <t>Unclear exactly what is being requested in these columns</t>
  </si>
  <si>
    <t>Unity per example Filed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</si>
</sst>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.000%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name val="Geneva"/>
      <family val="2"/>
    </font>
    <font>
      <b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/>
        <bgColor indexed="64"/>
      </patternFill>
    </fill>
    <fill>
      <patternFill patternType="solid">
        <fgColor rgb="FF3C343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7" fillId="0" borderId="0"/>
  </cellStyleXfs>
  <cellXfs count="247">
    <xf numFmtId="0" fontId="0" fillId="0" borderId="0" xfId="0"/>
    <xf numFmtId="0" fontId="0" fillId="0" borderId="0" xfId="0" applyAlignment="1">
      <alignment horizontal="center"/>
    </xf>
    <xf numFmtId="0" fontId="3" fillId="2" borderId="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0" borderId="4" xfId="0" quotePrefix="1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center" wrapText="1"/>
    </xf>
    <xf numFmtId="0" fontId="5" fillId="0" borderId="7" xfId="0" applyFont="1" applyFill="1" applyBorder="1" applyAlignment="1" applyProtection="1">
      <alignment vertical="center" wrapText="1"/>
    </xf>
    <xf numFmtId="3" fontId="5" fillId="0" borderId="7" xfId="0" applyNumberFormat="1" applyFont="1" applyFill="1" applyBorder="1" applyAlignment="1" applyProtection="1">
      <alignment horizontal="center" wrapText="1"/>
    </xf>
    <xf numFmtId="0" fontId="2" fillId="0" borderId="0" xfId="0" applyFont="1"/>
    <xf numFmtId="0" fontId="5" fillId="0" borderId="2" xfId="0" applyFont="1" applyFill="1" applyBorder="1" applyAlignment="1" applyProtection="1">
      <alignment vertical="center" wrapText="1"/>
    </xf>
    <xf numFmtId="164" fontId="5" fillId="0" borderId="7" xfId="0" applyNumberFormat="1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/>
    <xf numFmtId="0" fontId="5" fillId="0" borderId="0" xfId="0" applyFont="1" applyFill="1" applyBorder="1" applyAlignment="1" applyProtection="1">
      <alignment horizontal="center"/>
    </xf>
    <xf numFmtId="0" fontId="10" fillId="0" borderId="0" xfId="0" applyNumberFormat="1" applyFont="1" applyFill="1" applyAlignment="1"/>
    <xf numFmtId="0" fontId="5" fillId="4" borderId="3" xfId="0" applyFont="1" applyFill="1" applyBorder="1" applyAlignment="1" applyProtection="1">
      <alignment horizontal="center"/>
    </xf>
    <xf numFmtId="0" fontId="5" fillId="4" borderId="7" xfId="0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>
      <alignment horizontal="center" wrapText="1"/>
    </xf>
    <xf numFmtId="0" fontId="0" fillId="4" borderId="0" xfId="0" applyFill="1"/>
    <xf numFmtId="0" fontId="7" fillId="0" borderId="16" xfId="0" applyFont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7" xfId="0" applyFont="1" applyBorder="1"/>
    <xf numFmtId="0" fontId="0" fillId="7" borderId="0" xfId="0" applyFont="1" applyFill="1"/>
    <xf numFmtId="0" fontId="6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10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8" fillId="1" borderId="5" xfId="0" applyFont="1" applyFill="1" applyBorder="1" applyAlignment="1" applyProtection="1">
      <alignment horizontal="right"/>
    </xf>
    <xf numFmtId="0" fontId="2" fillId="0" borderId="11" xfId="0" applyFont="1" applyFill="1" applyBorder="1" applyAlignment="1">
      <alignment horizontal="center"/>
    </xf>
    <xf numFmtId="0" fontId="8" fillId="1" borderId="11" xfId="0" applyFont="1" applyFill="1" applyBorder="1" applyAlignment="1" applyProtection="1">
      <alignment horizontal="right"/>
    </xf>
    <xf numFmtId="0" fontId="14" fillId="0" borderId="0" xfId="0" applyFont="1"/>
    <xf numFmtId="0" fontId="7" fillId="0" borderId="0" xfId="0" applyFont="1"/>
    <xf numFmtId="0" fontId="6" fillId="8" borderId="13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right"/>
    </xf>
    <xf numFmtId="0" fontId="2" fillId="0" borderId="4" xfId="0" quotePrefix="1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8" fillId="0" borderId="11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5" fillId="0" borderId="4" xfId="0" applyFont="1" applyFill="1" applyBorder="1" applyAlignment="1" applyProtection="1">
      <alignment horizontal="left" vertical="center" wrapText="1"/>
    </xf>
    <xf numFmtId="43" fontId="8" fillId="0" borderId="0" xfId="1" applyFont="1" applyFill="1" applyBorder="1" applyAlignment="1" applyProtection="1">
      <alignment horizontal="right" vertical="center"/>
    </xf>
    <xf numFmtId="2" fontId="2" fillId="0" borderId="0" xfId="0" quotePrefix="1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0" fontId="14" fillId="0" borderId="0" xfId="0" applyFont="1" applyFill="1" applyBorder="1"/>
    <xf numFmtId="0" fontId="5" fillId="0" borderId="0" xfId="0" applyFont="1" applyFill="1" applyBorder="1" applyAlignment="1" applyProtection="1">
      <alignment horizontal="left" vertical="center" wrapText="1"/>
    </xf>
    <xf numFmtId="0" fontId="2" fillId="0" borderId="0" xfId="0" quotePrefix="1" applyFont="1" applyFill="1" applyBorder="1" applyAlignment="1">
      <alignment horizontal="left"/>
    </xf>
    <xf numFmtId="0" fontId="2" fillId="0" borderId="0" xfId="0" applyFont="1" applyFill="1" applyBorder="1"/>
    <xf numFmtId="43" fontId="8" fillId="0" borderId="3" xfId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/>
    </xf>
    <xf numFmtId="43" fontId="8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43" fontId="8" fillId="0" borderId="3" xfId="0" applyNumberFormat="1" applyFont="1" applyFill="1" applyBorder="1" applyProtection="1"/>
    <xf numFmtId="43" fontId="8" fillId="0" borderId="0" xfId="0" applyNumberFormat="1" applyFont="1" applyFill="1" applyBorder="1" applyProtection="1"/>
    <xf numFmtId="43" fontId="8" fillId="0" borderId="18" xfId="0" applyNumberFormat="1" applyFont="1" applyFill="1" applyBorder="1" applyProtection="1"/>
    <xf numFmtId="0" fontId="2" fillId="0" borderId="0" xfId="0" applyFont="1" applyFill="1"/>
    <xf numFmtId="0" fontId="3" fillId="9" borderId="0" xfId="0" applyFont="1" applyFill="1" applyBorder="1" applyAlignment="1" applyProtection="1">
      <alignment horizontal="right"/>
    </xf>
    <xf numFmtId="43" fontId="8" fillId="0" borderId="0" xfId="1" applyFont="1" applyFill="1" applyBorder="1" applyProtection="1"/>
    <xf numFmtId="0" fontId="6" fillId="8" borderId="0" xfId="0" applyFont="1" applyFill="1" applyBorder="1" applyAlignment="1" applyProtection="1">
      <alignment horizontal="right"/>
    </xf>
    <xf numFmtId="43" fontId="8" fillId="0" borderId="4" xfId="0" applyNumberFormat="1" applyFont="1" applyFill="1" applyBorder="1" applyProtection="1"/>
    <xf numFmtId="165" fontId="8" fillId="0" borderId="0" xfId="1" applyNumberFormat="1" applyFont="1" applyFill="1" applyBorder="1" applyAlignment="1" applyProtection="1">
      <alignment horizontal="right"/>
    </xf>
    <xf numFmtId="165" fontId="8" fillId="0" borderId="4" xfId="0" applyNumberFormat="1" applyFont="1" applyFill="1" applyBorder="1" applyProtection="1"/>
    <xf numFmtId="0" fontId="8" fillId="0" borderId="0" xfId="0" applyFont="1" applyFill="1" applyBorder="1" applyProtection="1"/>
    <xf numFmtId="0" fontId="8" fillId="0" borderId="4" xfId="0" applyFont="1" applyFill="1" applyBorder="1" applyProtection="1"/>
    <xf numFmtId="0" fontId="8" fillId="0" borderId="3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165" fontId="8" fillId="0" borderId="0" xfId="0" applyNumberFormat="1" applyFont="1" applyFill="1" applyBorder="1" applyProtection="1"/>
    <xf numFmtId="165" fontId="8" fillId="0" borderId="0" xfId="1" applyNumberFormat="1" applyFont="1" applyFill="1" applyBorder="1" applyProtection="1"/>
    <xf numFmtId="0" fontId="8" fillId="0" borderId="18" xfId="0" applyFont="1" applyFill="1" applyBorder="1" applyProtection="1"/>
    <xf numFmtId="0" fontId="6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43" fontId="8" fillId="0" borderId="3" xfId="0" applyNumberFormat="1" applyFont="1" applyFill="1" applyBorder="1" applyAlignment="1" applyProtection="1">
      <alignment horizontal="right"/>
    </xf>
    <xf numFmtId="0" fontId="16" fillId="0" borderId="0" xfId="0" applyFont="1" applyFill="1" applyBorder="1"/>
    <xf numFmtId="43" fontId="16" fillId="0" borderId="0" xfId="0" applyNumberFormat="1" applyFont="1" applyFill="1" applyBorder="1"/>
    <xf numFmtId="43" fontId="16" fillId="0" borderId="3" xfId="0" applyNumberFormat="1" applyFont="1" applyFill="1" applyBorder="1"/>
    <xf numFmtId="165" fontId="16" fillId="0" borderId="0" xfId="0" applyNumberFormat="1" applyFont="1" applyFill="1" applyBorder="1"/>
    <xf numFmtId="43" fontId="16" fillId="0" borderId="0" xfId="1" applyFont="1" applyFill="1" applyBorder="1"/>
    <xf numFmtId="10" fontId="2" fillId="0" borderId="0" xfId="2" applyNumberFormat="1" applyFont="1" applyFill="1" applyBorder="1"/>
    <xf numFmtId="166" fontId="2" fillId="0" borderId="0" xfId="2" applyNumberFormat="1" applyFont="1" applyFill="1" applyBorder="1" applyAlignment="1">
      <alignment wrapText="1"/>
    </xf>
    <xf numFmtId="43" fontId="2" fillId="0" borderId="0" xfId="0" applyNumberFormat="1" applyFont="1" applyFill="1" applyBorder="1"/>
    <xf numFmtId="165" fontId="9" fillId="0" borderId="0" xfId="0" applyNumberFormat="1" applyFont="1" applyFill="1" applyBorder="1" applyAlignment="1" applyProtection="1">
      <alignment horizontal="center"/>
    </xf>
    <xf numFmtId="165" fontId="1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5" fillId="0" borderId="0" xfId="3" applyFont="1" applyAlignment="1">
      <alignment horizontal="right"/>
    </xf>
    <xf numFmtId="0" fontId="5" fillId="0" borderId="0" xfId="3" applyFont="1" applyFill="1" applyAlignment="1">
      <alignment horizontal="right"/>
    </xf>
    <xf numFmtId="43" fontId="9" fillId="0" borderId="0" xfId="0" applyNumberFormat="1" applyFont="1" applyFill="1" applyBorder="1" applyAlignment="1" applyProtection="1">
      <alignment horizontal="center"/>
    </xf>
    <xf numFmtId="43" fontId="9" fillId="0" borderId="0" xfId="1" applyFont="1" applyFill="1" applyBorder="1" applyAlignment="1" applyProtection="1">
      <alignment horizontal="center"/>
    </xf>
    <xf numFmtId="43" fontId="16" fillId="0" borderId="18" xfId="0" applyNumberFormat="1" applyFont="1" applyFill="1" applyBorder="1"/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vertical="center" wrapText="1"/>
    </xf>
    <xf numFmtId="3" fontId="5" fillId="0" borderId="3" xfId="0" applyNumberFormat="1" applyFont="1" applyFill="1" applyBorder="1" applyAlignment="1" applyProtection="1">
      <alignment horizontal="center" wrapText="1"/>
    </xf>
    <xf numFmtId="0" fontId="5" fillId="0" borderId="7" xfId="0" applyFont="1" applyFill="1" applyBorder="1" applyAlignment="1" applyProtection="1">
      <alignment horizontal="center" wrapText="1"/>
    </xf>
    <xf numFmtId="0" fontId="5" fillId="0" borderId="3" xfId="0" applyFont="1" applyFill="1" applyBorder="1" applyAlignment="1" applyProtection="1">
      <alignment vertical="center" wrapText="1"/>
    </xf>
    <xf numFmtId="3" fontId="5" fillId="0" borderId="9" xfId="0" applyNumberFormat="1" applyFont="1" applyFill="1" applyBorder="1" applyAlignment="1" applyProtection="1">
      <alignment horizontal="center" wrapText="1"/>
    </xf>
    <xf numFmtId="3" fontId="5" fillId="0" borderId="4" xfId="0" applyNumberFormat="1" applyFont="1" applyFill="1" applyBorder="1" applyAlignment="1" applyProtection="1">
      <alignment horizontal="center" wrapText="1"/>
    </xf>
    <xf numFmtId="3" fontId="5" fillId="4" borderId="9" xfId="0" applyNumberFormat="1" applyFont="1" applyFill="1" applyBorder="1" applyAlignment="1" applyProtection="1">
      <alignment horizont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4" borderId="9" xfId="0" applyFont="1" applyFill="1" applyBorder="1" applyAlignment="1" applyProtection="1">
      <alignment horizontal="center"/>
    </xf>
    <xf numFmtId="0" fontId="5" fillId="4" borderId="12" xfId="0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 wrapText="1"/>
    </xf>
    <xf numFmtId="0" fontId="6" fillId="0" borderId="7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 wrapText="1"/>
    </xf>
    <xf numFmtId="165" fontId="0" fillId="0" borderId="0" xfId="1" applyNumberFormat="1" applyFont="1"/>
    <xf numFmtId="165" fontId="7" fillId="0" borderId="16" xfId="1" applyNumberFormat="1" applyFont="1" applyBorder="1" applyAlignment="1">
      <alignment horizontal="center" vertical="center" wrapText="1"/>
    </xf>
    <xf numFmtId="165" fontId="7" fillId="0" borderId="7" xfId="1" quotePrefix="1" applyNumberFormat="1" applyFont="1" applyFill="1" applyBorder="1" applyAlignment="1"/>
    <xf numFmtId="165" fontId="3" fillId="5" borderId="4" xfId="1" applyNumberFormat="1" applyFont="1" applyFill="1" applyBorder="1" applyAlignment="1" applyProtection="1">
      <alignment vertical="center"/>
    </xf>
    <xf numFmtId="165" fontId="0" fillId="0" borderId="0" xfId="0" applyNumberFormat="1"/>
    <xf numFmtId="165" fontId="6" fillId="3" borderId="2" xfId="0" applyNumberFormat="1" applyFont="1" applyFill="1" applyBorder="1" applyAlignment="1" applyProtection="1"/>
    <xf numFmtId="0" fontId="5" fillId="11" borderId="7" xfId="0" applyFont="1" applyFill="1" applyBorder="1" applyAlignment="1" applyProtection="1">
      <alignment vertical="center" wrapText="1"/>
    </xf>
    <xf numFmtId="3" fontId="5" fillId="11" borderId="7" xfId="0" applyNumberFormat="1" applyFont="1" applyFill="1" applyBorder="1" applyAlignment="1" applyProtection="1">
      <alignment horizontal="center" wrapText="1"/>
    </xf>
    <xf numFmtId="165" fontId="18" fillId="0" borderId="2" xfId="1" applyNumberFormat="1" applyFont="1" applyBorder="1"/>
    <xf numFmtId="164" fontId="5" fillId="11" borderId="7" xfId="0" applyNumberFormat="1" applyFont="1" applyFill="1" applyBorder="1" applyAlignment="1" applyProtection="1">
      <alignment horizontal="center" wrapText="1"/>
    </xf>
    <xf numFmtId="165" fontId="7" fillId="12" borderId="2" xfId="1" applyNumberFormat="1" applyFont="1" applyFill="1" applyBorder="1"/>
    <xf numFmtId="165" fontId="6" fillId="6" borderId="2" xfId="1" applyNumberFormat="1" applyFont="1" applyFill="1" applyBorder="1" applyAlignment="1" applyProtection="1"/>
    <xf numFmtId="165" fontId="3" fillId="5" borderId="0" xfId="1" applyNumberFormat="1" applyFont="1" applyFill="1" applyBorder="1" applyAlignment="1" applyProtection="1"/>
    <xf numFmtId="0" fontId="5" fillId="11" borderId="7" xfId="0" applyFont="1" applyFill="1" applyBorder="1" applyAlignment="1" applyProtection="1">
      <alignment horizontal="center"/>
    </xf>
    <xf numFmtId="0" fontId="0" fillId="11" borderId="0" xfId="0" applyFill="1"/>
    <xf numFmtId="0" fontId="7" fillId="11" borderId="16" xfId="0" applyFont="1" applyFill="1" applyBorder="1" applyAlignment="1">
      <alignment horizontal="center" vertical="center" wrapText="1"/>
    </xf>
    <xf numFmtId="165" fontId="0" fillId="11" borderId="0" xfId="1" applyNumberFormat="1" applyFont="1" applyFill="1"/>
    <xf numFmtId="165" fontId="7" fillId="11" borderId="7" xfId="1" quotePrefix="1" applyNumberFormat="1" applyFont="1" applyFill="1" applyBorder="1" applyAlignment="1"/>
    <xf numFmtId="165" fontId="6" fillId="11" borderId="2" xfId="0" applyNumberFormat="1" applyFont="1" applyFill="1" applyBorder="1" applyAlignment="1" applyProtection="1"/>
    <xf numFmtId="165" fontId="18" fillId="11" borderId="2" xfId="1" applyNumberFormat="1" applyFont="1" applyFill="1" applyBorder="1"/>
    <xf numFmtId="165" fontId="7" fillId="11" borderId="2" xfId="1" applyNumberFormat="1" applyFont="1" applyFill="1" applyBorder="1"/>
    <xf numFmtId="165" fontId="6" fillId="11" borderId="2" xfId="1" applyNumberFormat="1" applyFont="1" applyFill="1" applyBorder="1" applyAlignment="1" applyProtection="1"/>
    <xf numFmtId="165" fontId="0" fillId="11" borderId="0" xfId="0" applyNumberFormat="1" applyFill="1"/>
    <xf numFmtId="10" fontId="0" fillId="11" borderId="0" xfId="2" applyNumberFormat="1" applyFont="1" applyFill="1"/>
    <xf numFmtId="2" fontId="0" fillId="11" borderId="0" xfId="0" applyNumberFormat="1" applyFill="1"/>
    <xf numFmtId="0" fontId="0" fillId="0" borderId="0" xfId="0" applyFill="1"/>
    <xf numFmtId="165" fontId="0" fillId="0" borderId="0" xfId="1" applyNumberFormat="1" applyFont="1" applyFill="1"/>
    <xf numFmtId="165" fontId="0" fillId="0" borderId="0" xfId="0" applyNumberFormat="1" applyFill="1"/>
    <xf numFmtId="10" fontId="0" fillId="0" borderId="0" xfId="2" applyNumberFormat="1" applyFont="1" applyFill="1"/>
    <xf numFmtId="0" fontId="13" fillId="11" borderId="10" xfId="0" applyFont="1" applyFill="1" applyBorder="1" applyAlignment="1" applyProtection="1">
      <alignment horizontal="center" vertical="center"/>
    </xf>
    <xf numFmtId="0" fontId="2" fillId="11" borderId="0" xfId="0" applyFont="1" applyFill="1"/>
    <xf numFmtId="0" fontId="14" fillId="11" borderId="0" xfId="0" applyFont="1" applyFill="1"/>
    <xf numFmtId="0" fontId="0" fillId="0" borderId="0" xfId="0" applyFont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left"/>
    </xf>
    <xf numFmtId="0" fontId="6" fillId="6" borderId="2" xfId="0" applyFont="1" applyFill="1" applyBorder="1" applyAlignment="1" applyProtection="1">
      <alignment horizontal="right"/>
    </xf>
    <xf numFmtId="0" fontId="6" fillId="6" borderId="7" xfId="0" applyFont="1" applyFill="1" applyBorder="1" applyAlignment="1" applyProtection="1">
      <alignment horizontal="right"/>
    </xf>
    <xf numFmtId="0" fontId="6" fillId="6" borderId="9" xfId="0" applyFont="1" applyFill="1" applyBorder="1" applyAlignment="1" applyProtection="1">
      <alignment horizontal="right"/>
    </xf>
    <xf numFmtId="0" fontId="3" fillId="5" borderId="0" xfId="0" applyFont="1" applyFill="1" applyBorder="1" applyAlignment="1" applyProtection="1">
      <alignment horizontal="right"/>
    </xf>
    <xf numFmtId="0" fontId="3" fillId="5" borderId="1" xfId="0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left" wrapText="1"/>
    </xf>
    <xf numFmtId="0" fontId="6" fillId="8" borderId="7" xfId="0" applyFont="1" applyFill="1" applyBorder="1" applyAlignment="1" applyProtection="1">
      <alignment horizontal="right"/>
    </xf>
    <xf numFmtId="0" fontId="6" fillId="8" borderId="9" xfId="0" applyFont="1" applyFill="1" applyBorder="1" applyAlignment="1" applyProtection="1">
      <alignment horizontal="right"/>
    </xf>
    <xf numFmtId="0" fontId="6" fillId="6" borderId="7" xfId="0" applyFont="1" applyFill="1" applyBorder="1" applyAlignment="1" applyProtection="1">
      <alignment horizontal="center"/>
    </xf>
    <xf numFmtId="0" fontId="6" fillId="6" borderId="9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6" fillId="8" borderId="2" xfId="0" applyFont="1" applyFill="1" applyBorder="1" applyAlignment="1" applyProtection="1">
      <alignment horizontal="right"/>
    </xf>
    <xf numFmtId="0" fontId="6" fillId="6" borderId="4" xfId="0" applyFont="1" applyFill="1" applyBorder="1" applyAlignment="1" applyProtection="1">
      <alignment horizontal="right"/>
    </xf>
    <xf numFmtId="0" fontId="6" fillId="6" borderId="11" xfId="0" applyFont="1" applyFill="1" applyBorder="1" applyAlignment="1" applyProtection="1">
      <alignment horizontal="right"/>
    </xf>
    <xf numFmtId="0" fontId="5" fillId="4" borderId="7" xfId="0" applyFont="1" applyFill="1" applyBorder="1" applyAlignment="1" applyProtection="1">
      <alignment horizontal="left"/>
    </xf>
    <xf numFmtId="0" fontId="5" fillId="11" borderId="2" xfId="0" applyFont="1" applyFill="1" applyBorder="1" applyAlignment="1" applyProtection="1">
      <alignment horizontal="left"/>
    </xf>
    <xf numFmtId="0" fontId="5" fillId="11" borderId="7" xfId="0" applyFont="1" applyFill="1" applyBorder="1" applyAlignment="1" applyProtection="1">
      <alignment horizontal="left"/>
    </xf>
    <xf numFmtId="0" fontId="6" fillId="8" borderId="2" xfId="0" applyFont="1" applyFill="1" applyBorder="1" applyAlignment="1" applyProtection="1">
      <alignment horizontal="center"/>
    </xf>
    <xf numFmtId="0" fontId="6" fillId="8" borderId="7" xfId="0" applyFont="1" applyFill="1" applyBorder="1" applyAlignment="1" applyProtection="1">
      <alignment horizontal="center"/>
    </xf>
    <xf numFmtId="0" fontId="6" fillId="8" borderId="9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6" fillId="10" borderId="10" xfId="0" applyFont="1" applyFill="1" applyBorder="1" applyAlignment="1" applyProtection="1">
      <alignment horizontal="right"/>
    </xf>
    <xf numFmtId="0" fontId="6" fillId="10" borderId="2" xfId="0" applyFont="1" applyFill="1" applyBorder="1" applyAlignment="1" applyProtection="1">
      <alignment horizontal="right"/>
    </xf>
    <xf numFmtId="0" fontId="3" fillId="5" borderId="4" xfId="0" applyFont="1" applyFill="1" applyBorder="1" applyAlignment="1" applyProtection="1">
      <alignment horizontal="right" vertical="center"/>
    </xf>
    <xf numFmtId="0" fontId="3" fillId="5" borderId="11" xfId="0" applyFont="1" applyFill="1" applyBorder="1" applyAlignment="1" applyProtection="1">
      <alignment horizontal="right" vertical="center"/>
    </xf>
    <xf numFmtId="0" fontId="3" fillId="5" borderId="2" xfId="0" applyFont="1" applyFill="1" applyBorder="1" applyAlignment="1" applyProtection="1">
      <alignment horizontal="right" vertical="center"/>
    </xf>
    <xf numFmtId="0" fontId="3" fillId="5" borderId="7" xfId="0" applyFont="1" applyFill="1" applyBorder="1" applyAlignment="1" applyProtection="1">
      <alignment horizontal="right" vertical="center"/>
    </xf>
    <xf numFmtId="0" fontId="3" fillId="5" borderId="9" xfId="0" applyFont="1" applyFill="1" applyBorder="1" applyAlignment="1" applyProtection="1">
      <alignment horizontal="right" vertical="center"/>
    </xf>
    <xf numFmtId="0" fontId="6" fillId="4" borderId="2" xfId="0" applyFont="1" applyFill="1" applyBorder="1" applyAlignment="1" applyProtection="1">
      <alignment horizontal="right"/>
    </xf>
    <xf numFmtId="0" fontId="6" fillId="4" borderId="9" xfId="0" applyFont="1" applyFill="1" applyBorder="1" applyAlignment="1" applyProtection="1">
      <alignment horizontal="right"/>
    </xf>
    <xf numFmtId="0" fontId="6" fillId="4" borderId="7" xfId="0" applyFont="1" applyFill="1" applyBorder="1" applyAlignment="1" applyProtection="1">
      <alignment horizontal="right"/>
    </xf>
    <xf numFmtId="0" fontId="6" fillId="3" borderId="2" xfId="0" applyFont="1" applyFill="1" applyBorder="1" applyAlignment="1" applyProtection="1">
      <alignment horizontal="right"/>
    </xf>
    <xf numFmtId="0" fontId="6" fillId="3" borderId="7" xfId="0" applyFont="1" applyFill="1" applyBorder="1" applyAlignment="1" applyProtection="1">
      <alignment horizontal="right"/>
    </xf>
    <xf numFmtId="0" fontId="6" fillId="3" borderId="9" xfId="0" applyFont="1" applyFill="1" applyBorder="1" applyAlignment="1" applyProtection="1">
      <alignment horizontal="right"/>
    </xf>
    <xf numFmtId="0" fontId="6" fillId="11" borderId="2" xfId="0" applyFont="1" applyFill="1" applyBorder="1" applyAlignment="1" applyProtection="1">
      <alignment horizontal="right"/>
    </xf>
    <xf numFmtId="0" fontId="6" fillId="11" borderId="7" xfId="0" applyFont="1" applyFill="1" applyBorder="1" applyAlignment="1" applyProtection="1">
      <alignment horizontal="right"/>
    </xf>
    <xf numFmtId="0" fontId="6" fillId="11" borderId="9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horizontal="right" vertical="center" wrapText="1"/>
    </xf>
    <xf numFmtId="0" fontId="6" fillId="0" borderId="9" xfId="0" applyFont="1" applyFill="1" applyBorder="1" applyAlignment="1" applyProtection="1">
      <alignment horizontal="right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7" fillId="0" borderId="2" xfId="0" quotePrefix="1" applyFont="1" applyFill="1" applyBorder="1" applyAlignment="1">
      <alignment horizontal="right"/>
    </xf>
    <xf numFmtId="0" fontId="7" fillId="0" borderId="9" xfId="0" quotePrefix="1" applyFont="1" applyFill="1" applyBorder="1" applyAlignment="1">
      <alignment horizontal="right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7" fillId="0" borderId="7" xfId="0" quotePrefix="1" applyFont="1" applyFill="1" applyBorder="1" applyAlignment="1">
      <alignment horizontal="right"/>
    </xf>
    <xf numFmtId="0" fontId="5" fillId="0" borderId="10" xfId="0" applyFont="1" applyFill="1" applyBorder="1" applyAlignment="1" applyProtection="1">
      <alignment horizontal="center" vertical="center" wrapText="1"/>
    </xf>
    <xf numFmtId="0" fontId="7" fillId="0" borderId="4" xfId="0" quotePrefix="1" applyFont="1" applyFill="1" applyBorder="1" applyAlignment="1">
      <alignment horizontal="right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7" fillId="0" borderId="2" xfId="0" quotePrefix="1" applyFont="1" applyFill="1" applyBorder="1" applyAlignment="1">
      <alignment horizontal="center"/>
    </xf>
    <xf numFmtId="0" fontId="7" fillId="0" borderId="7" xfId="0" quotePrefix="1" applyFont="1" applyFill="1" applyBorder="1" applyAlignment="1">
      <alignment horizont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horizontal="center"/>
    </xf>
    <xf numFmtId="0" fontId="7" fillId="0" borderId="2" xfId="0" quotePrefix="1" applyFont="1" applyFill="1" applyBorder="1" applyAlignment="1">
      <alignment horizontal="right" wrapText="1"/>
    </xf>
    <xf numFmtId="0" fontId="7" fillId="0" borderId="7" xfId="0" quotePrefix="1" applyFont="1" applyFill="1" applyBorder="1" applyAlignment="1">
      <alignment horizontal="right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0" fillId="0" borderId="8" xfId="0" applyBorder="1" applyAlignment="1"/>
    <xf numFmtId="0" fontId="15" fillId="0" borderId="7" xfId="0" applyFont="1" applyFill="1" applyBorder="1" applyAlignment="1" applyProtection="1">
      <alignment horizontal="left" vertical="center"/>
    </xf>
    <xf numFmtId="0" fontId="6" fillId="10" borderId="9" xfId="0" applyFont="1" applyFill="1" applyBorder="1" applyAlignment="1" applyProtection="1">
      <alignment horizontal="right"/>
    </xf>
    <xf numFmtId="0" fontId="6" fillId="8" borderId="4" xfId="0" applyFont="1" applyFill="1" applyBorder="1" applyAlignment="1" applyProtection="1">
      <alignment horizontal="right"/>
    </xf>
    <xf numFmtId="0" fontId="6" fillId="8" borderId="11" xfId="0" applyFont="1" applyFill="1" applyBorder="1" applyAlignment="1" applyProtection="1">
      <alignment horizontal="right"/>
    </xf>
    <xf numFmtId="0" fontId="2" fillId="0" borderId="7" xfId="0" quotePrefix="1" applyFont="1" applyFill="1" applyBorder="1" applyAlignment="1">
      <alignment horizontal="right"/>
    </xf>
    <xf numFmtId="0" fontId="2" fillId="0" borderId="4" xfId="0" quotePrefix="1" applyFont="1" applyFill="1" applyBorder="1" applyAlignment="1">
      <alignment horizontal="right"/>
    </xf>
    <xf numFmtId="0" fontId="5" fillId="0" borderId="7" xfId="0" applyFont="1" applyFill="1" applyBorder="1" applyAlignment="1" applyProtection="1">
      <alignment horizontal="right" vertical="center" wrapText="1"/>
    </xf>
    <xf numFmtId="0" fontId="5" fillId="0" borderId="9" xfId="0" applyFont="1" applyFill="1" applyBorder="1" applyAlignment="1" applyProtection="1">
      <alignment horizontal="right" vertical="center" wrapText="1"/>
    </xf>
    <xf numFmtId="0" fontId="6" fillId="0" borderId="7" xfId="0" applyFont="1" applyFill="1" applyBorder="1" applyAlignment="1" applyProtection="1">
      <alignment horizontal="right" vertical="center"/>
    </xf>
    <xf numFmtId="0" fontId="2" fillId="0" borderId="2" xfId="0" quotePrefix="1" applyFont="1" applyFill="1" applyBorder="1" applyAlignment="1">
      <alignment horizontal="right"/>
    </xf>
    <xf numFmtId="0" fontId="2" fillId="0" borderId="9" xfId="0" quotePrefix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WAElec6_97" xfId="3"/>
    <cellStyle name="Percent" xfId="2" builtinId="5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1208665</xdr:colOff>
      <xdr:row>4</xdr:row>
      <xdr:rowOff>31046</xdr:rowOff>
    </xdr:to>
    <xdr:pic>
      <xdr:nvPicPr>
        <xdr:cNvPr id="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72" t="6272" r="6755" b="22496"/>
        <a:stretch/>
      </xdr:blipFill>
      <xdr:spPr bwMode="auto">
        <a:xfrm>
          <a:off x="1" y="0"/>
          <a:ext cx="1207942" cy="793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:I32" totalsRowShown="0">
  <tableColumns count="8">
    <tableColumn id="1" name="Costs"/>
    <tableColumn id="13" name="Description"/>
    <tableColumn id="11" name="Acronym"/>
    <tableColumn id="2" name="Schedule X"/>
    <tableColumn id="3" name="Schedule X2"/>
    <tableColumn id="4" name="Schedule X3"/>
    <tableColumn id="5" name="Schedule X4"/>
    <tableColumn id="12" name="TOTAL" dataDxfId="0">
      <calculatedColumnFormula>SUM(Table1[[#This Row],[Schedule X]:[Schedule X4]])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2"/>
  <sheetViews>
    <sheetView workbookViewId="0"/>
  </sheetViews>
  <sheetFormatPr defaultRowHeight="15"/>
  <cols>
    <col min="1" max="1" width="70.7109375" customWidth="1"/>
  </cols>
  <sheetData>
    <row r="3" spans="1:10">
      <c r="B3" s="1" t="s">
        <v>198</v>
      </c>
    </row>
    <row r="4" spans="1:10">
      <c r="B4" s="1" t="s">
        <v>199</v>
      </c>
    </row>
    <row r="7" spans="1:10">
      <c r="A7" t="s">
        <v>72</v>
      </c>
    </row>
    <row r="8" spans="1:10">
      <c r="A8" s="142" t="s">
        <v>200</v>
      </c>
      <c r="B8" s="142"/>
      <c r="C8" s="142"/>
      <c r="D8" s="142"/>
      <c r="E8" s="142"/>
      <c r="F8" s="142"/>
      <c r="G8" s="142"/>
      <c r="H8" s="142"/>
      <c r="I8" s="142"/>
      <c r="J8" s="142"/>
    </row>
    <row r="9" spans="1:10">
      <c r="A9" s="142" t="s">
        <v>201</v>
      </c>
      <c r="B9" s="142"/>
      <c r="C9" s="142"/>
      <c r="D9" s="142"/>
      <c r="E9" s="142"/>
      <c r="F9" s="142"/>
      <c r="G9" s="142"/>
      <c r="H9" s="142"/>
      <c r="I9" s="142"/>
      <c r="J9" s="142"/>
    </row>
    <row r="10" spans="1:10">
      <c r="A10" s="143" t="s">
        <v>202</v>
      </c>
      <c r="B10" s="143"/>
      <c r="C10" s="143"/>
      <c r="D10" s="143"/>
      <c r="E10" s="143"/>
      <c r="F10" s="143"/>
      <c r="G10" s="143"/>
      <c r="H10" s="143"/>
      <c r="I10" s="143"/>
      <c r="J10" s="143"/>
    </row>
    <row r="11" spans="1:10">
      <c r="A11" s="143" t="s">
        <v>203</v>
      </c>
      <c r="B11" s="143"/>
      <c r="C11" s="143"/>
      <c r="D11" s="143"/>
      <c r="E11" s="143"/>
      <c r="F11" s="143"/>
      <c r="G11" s="143"/>
      <c r="H11" s="143"/>
      <c r="I11" s="143"/>
      <c r="J11" s="143"/>
    </row>
    <row r="12" spans="1:10">
      <c r="A12" s="143" t="s">
        <v>204</v>
      </c>
      <c r="B12" s="143"/>
      <c r="C12" s="143"/>
      <c r="D12" s="143"/>
      <c r="E12" s="143"/>
      <c r="F12" s="143"/>
      <c r="G12" s="143"/>
      <c r="H12" s="143"/>
      <c r="I12" s="143"/>
      <c r="J12" s="143"/>
    </row>
    <row r="19" spans="1:1">
      <c r="A19" t="s">
        <v>192</v>
      </c>
    </row>
    <row r="20" spans="1:1">
      <c r="A20" t="s">
        <v>193</v>
      </c>
    </row>
    <row r="21" spans="1:1">
      <c r="A21" t="s">
        <v>191</v>
      </c>
    </row>
    <row r="22" spans="1:1">
      <c r="A22" t="s">
        <v>194</v>
      </c>
    </row>
  </sheetData>
  <mergeCells count="5">
    <mergeCell ref="A8:J8"/>
    <mergeCell ref="A9:J9"/>
    <mergeCell ref="A10:J10"/>
    <mergeCell ref="A11:J11"/>
    <mergeCell ref="A12:J12"/>
  </mergeCells>
  <pageMargins left="0.7" right="0.7" top="0.75" bottom="0.75" header="0.3" footer="0.3"/>
  <pageSetup scale="5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1"/>
  <sheetViews>
    <sheetView topLeftCell="I1" workbookViewId="0">
      <selection activeCell="O2" sqref="O2"/>
    </sheetView>
  </sheetViews>
  <sheetFormatPr defaultRowHeight="15.75"/>
  <cols>
    <col min="1" max="1" width="9.140625" style="13"/>
    <col min="2" max="2" width="72.85546875" style="13" bestFit="1" customWidth="1"/>
    <col min="3" max="3" width="32" style="13" bestFit="1" customWidth="1"/>
    <col min="4" max="4" width="30.28515625" style="13" bestFit="1" customWidth="1"/>
    <col min="5" max="5" width="32" style="13" bestFit="1" customWidth="1"/>
    <col min="6" max="6" width="30.28515625" style="62" bestFit="1" customWidth="1"/>
    <col min="7" max="7" width="29.5703125" style="13" customWidth="1"/>
    <col min="8" max="8" width="26.5703125" style="13" customWidth="1"/>
    <col min="9" max="9" width="34.28515625" style="13" bestFit="1" customWidth="1"/>
    <col min="10" max="11" width="26.5703125" style="13" customWidth="1"/>
    <col min="12" max="12" width="34.28515625" style="13" bestFit="1" customWidth="1"/>
    <col min="13" max="13" width="35.42578125" style="13" bestFit="1" customWidth="1"/>
    <col min="14" max="14" width="16.28515625" style="13" customWidth="1"/>
    <col min="15" max="15" width="26.5703125" style="13" customWidth="1"/>
    <col min="16" max="16" width="26.5703125" style="39" customWidth="1"/>
    <col min="17" max="17" width="19.7109375" style="13" customWidth="1"/>
    <col min="18" max="16384" width="9.140625" style="13"/>
  </cols>
  <sheetData>
    <row r="1" spans="1:17">
      <c r="H1" s="140" t="s">
        <v>378</v>
      </c>
      <c r="I1" s="140"/>
      <c r="J1" s="140"/>
      <c r="K1" s="140"/>
      <c r="L1" s="140"/>
      <c r="M1" s="140"/>
      <c r="N1" s="140"/>
      <c r="O1" s="140"/>
      <c r="P1" s="141"/>
    </row>
    <row r="2" spans="1:17" s="31" customFormat="1" ht="25.5">
      <c r="C2" s="32" t="s">
        <v>85</v>
      </c>
      <c r="D2" s="33" t="s">
        <v>230</v>
      </c>
      <c r="E2" s="32" t="s">
        <v>229</v>
      </c>
      <c r="F2" s="33" t="s">
        <v>228</v>
      </c>
      <c r="G2" s="32" t="s">
        <v>227</v>
      </c>
      <c r="H2" s="32" t="s">
        <v>86</v>
      </c>
      <c r="I2" s="34" t="s">
        <v>225</v>
      </c>
      <c r="J2" s="33" t="s">
        <v>226</v>
      </c>
      <c r="K2" s="139" t="s">
        <v>87</v>
      </c>
      <c r="L2" s="32" t="s">
        <v>88</v>
      </c>
      <c r="M2" s="32" t="s">
        <v>89</v>
      </c>
      <c r="N2" s="32" t="s">
        <v>107</v>
      </c>
      <c r="O2" s="34" t="s">
        <v>90</v>
      </c>
      <c r="P2" s="34" t="s">
        <v>91</v>
      </c>
      <c r="Q2" s="31" t="s">
        <v>108</v>
      </c>
    </row>
    <row r="3" spans="1:17" ht="15.75" customHeight="1">
      <c r="B3" s="35" t="s">
        <v>92</v>
      </c>
      <c r="C3" s="36"/>
      <c r="D3" s="4">
        <v>1.1000000000000001</v>
      </c>
      <c r="E3" s="36"/>
      <c r="F3" s="37">
        <v>8.1</v>
      </c>
      <c r="G3" s="36"/>
      <c r="H3" s="36"/>
      <c r="I3" s="38"/>
      <c r="J3" s="37">
        <v>10</v>
      </c>
      <c r="K3" s="37">
        <v>10.1</v>
      </c>
      <c r="L3" s="36"/>
      <c r="M3" s="36"/>
      <c r="N3" s="36"/>
      <c r="O3" s="36"/>
      <c r="P3" s="36"/>
    </row>
    <row r="4" spans="1:17" ht="15.75" customHeight="1">
      <c r="A4" s="40" t="s">
        <v>93</v>
      </c>
      <c r="B4" s="41"/>
      <c r="C4" s="42"/>
      <c r="D4" s="43"/>
      <c r="E4" s="43"/>
      <c r="F4" s="44"/>
      <c r="G4" s="45"/>
      <c r="H4" s="46"/>
      <c r="I4" s="46"/>
      <c r="J4" s="46"/>
      <c r="K4" s="46"/>
      <c r="L4" s="46"/>
      <c r="M4" s="46"/>
      <c r="N4" s="46"/>
      <c r="O4" s="46"/>
    </row>
    <row r="5" spans="1:17">
      <c r="A5" s="13">
        <v>1</v>
      </c>
      <c r="B5" s="47" t="s">
        <v>205</v>
      </c>
      <c r="C5" s="48"/>
      <c r="D5" s="49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1"/>
    </row>
    <row r="6" spans="1:17">
      <c r="A6" s="13">
        <v>2</v>
      </c>
      <c r="B6" s="52" t="s">
        <v>206</v>
      </c>
      <c r="C6" s="48"/>
      <c r="D6" s="53"/>
      <c r="E6" s="53"/>
      <c r="F6" s="54"/>
      <c r="G6" s="54"/>
      <c r="H6" s="54"/>
      <c r="I6" s="54"/>
      <c r="J6" s="54"/>
      <c r="K6" s="54"/>
      <c r="L6" s="54"/>
      <c r="M6" s="54"/>
      <c r="N6" s="54"/>
      <c r="O6" s="54"/>
      <c r="P6" s="51"/>
    </row>
    <row r="7" spans="1:17">
      <c r="A7" s="13">
        <v>3</v>
      </c>
      <c r="B7" s="52" t="s">
        <v>207</v>
      </c>
      <c r="C7" s="48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1"/>
    </row>
    <row r="8" spans="1:17">
      <c r="A8" s="13">
        <v>4</v>
      </c>
      <c r="B8" s="52" t="s">
        <v>208</v>
      </c>
      <c r="C8" s="48"/>
      <c r="D8" s="53"/>
      <c r="E8" s="53"/>
      <c r="F8" s="54"/>
      <c r="G8" s="54"/>
      <c r="H8" s="54"/>
      <c r="I8" s="54"/>
      <c r="J8" s="54"/>
      <c r="K8" s="54"/>
      <c r="L8" s="54"/>
      <c r="M8" s="54"/>
      <c r="N8" s="54"/>
      <c r="O8" s="54"/>
      <c r="P8" s="51"/>
    </row>
    <row r="9" spans="1:17">
      <c r="A9" s="13">
        <v>5</v>
      </c>
      <c r="B9" s="52" t="s">
        <v>209</v>
      </c>
      <c r="C9" s="48"/>
      <c r="D9" s="53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1"/>
    </row>
    <row r="10" spans="1:17">
      <c r="A10" s="13">
        <v>6</v>
      </c>
      <c r="B10" s="52" t="s">
        <v>110</v>
      </c>
      <c r="C10" s="55"/>
      <c r="D10" s="53"/>
      <c r="E10" s="53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1"/>
    </row>
    <row r="11" spans="1:17">
      <c r="A11" s="13">
        <v>7</v>
      </c>
      <c r="B11" s="56" t="s">
        <v>1</v>
      </c>
      <c r="C11" s="57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1"/>
    </row>
    <row r="12" spans="1:17">
      <c r="A12" s="13">
        <v>8</v>
      </c>
      <c r="B12" s="58" t="s">
        <v>208</v>
      </c>
      <c r="C12" s="59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1"/>
    </row>
    <row r="13" spans="1:17">
      <c r="A13" s="13">
        <v>9</v>
      </c>
      <c r="B13" s="56" t="s">
        <v>175</v>
      </c>
      <c r="C13" s="60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1"/>
    </row>
    <row r="14" spans="1:17" s="62" customFormat="1" ht="16.5" thickBot="1">
      <c r="A14" s="13">
        <v>10</v>
      </c>
      <c r="B14" s="58" t="s">
        <v>210</v>
      </c>
      <c r="C14" s="61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1"/>
      <c r="Q14" s="13"/>
    </row>
    <row r="15" spans="1:17" s="62" customFormat="1" ht="16.5" thickTop="1">
      <c r="A15" s="13">
        <v>11</v>
      </c>
      <c r="B15" s="63" t="s">
        <v>176</v>
      </c>
      <c r="C15" s="93" t="s">
        <v>105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1"/>
      <c r="Q15" s="13"/>
    </row>
    <row r="16" spans="1:17" s="62" customFormat="1">
      <c r="A16" s="13">
        <v>12</v>
      </c>
      <c r="B16" s="9" t="s">
        <v>211</v>
      </c>
      <c r="C16" s="60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1"/>
      <c r="Q16" s="13"/>
    </row>
    <row r="17" spans="1:17" s="62" customFormat="1">
      <c r="A17" s="13">
        <v>13</v>
      </c>
      <c r="B17" s="9" t="s">
        <v>128</v>
      </c>
      <c r="C17" s="57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1"/>
      <c r="Q17" s="13"/>
    </row>
    <row r="18" spans="1:17">
      <c r="A18" s="13">
        <v>14</v>
      </c>
      <c r="B18" s="65" t="s">
        <v>116</v>
      </c>
      <c r="C18" s="66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1"/>
    </row>
    <row r="19" spans="1:17">
      <c r="A19" s="13">
        <v>15</v>
      </c>
      <c r="B19" s="9" t="s">
        <v>177</v>
      </c>
      <c r="C19" s="67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1"/>
    </row>
    <row r="20" spans="1:17">
      <c r="A20" s="13">
        <v>16</v>
      </c>
      <c r="B20" s="9" t="s">
        <v>178</v>
      </c>
      <c r="C20" s="60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1"/>
    </row>
    <row r="21" spans="1:17">
      <c r="A21" s="13">
        <v>17</v>
      </c>
      <c r="B21" s="9" t="s">
        <v>132</v>
      </c>
      <c r="C21" s="60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1"/>
    </row>
    <row r="22" spans="1:17">
      <c r="A22" s="13">
        <v>18</v>
      </c>
      <c r="B22" s="9" t="s">
        <v>133</v>
      </c>
      <c r="C22" s="60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1"/>
    </row>
    <row r="23" spans="1:17">
      <c r="A23" s="13">
        <v>19</v>
      </c>
      <c r="B23" s="65" t="s">
        <v>179</v>
      </c>
      <c r="C23" s="68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1"/>
    </row>
    <row r="24" spans="1:17">
      <c r="A24" s="13">
        <v>20</v>
      </c>
      <c r="B24" s="9" t="s">
        <v>134</v>
      </c>
      <c r="C24" s="60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1"/>
    </row>
    <row r="25" spans="1:17">
      <c r="A25" s="13">
        <v>21</v>
      </c>
      <c r="B25" s="9" t="s">
        <v>135</v>
      </c>
      <c r="C25" s="60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1"/>
    </row>
    <row r="26" spans="1:17">
      <c r="A26" s="13">
        <v>22</v>
      </c>
      <c r="B26" s="65" t="s">
        <v>180</v>
      </c>
      <c r="C26" s="68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1"/>
    </row>
    <row r="27" spans="1:17">
      <c r="A27" s="13">
        <v>23</v>
      </c>
      <c r="B27" s="9" t="s">
        <v>136</v>
      </c>
      <c r="C27" s="60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1"/>
    </row>
    <row r="28" spans="1:17">
      <c r="A28" s="13">
        <v>24</v>
      </c>
      <c r="B28" s="9" t="s">
        <v>138</v>
      </c>
      <c r="C28" s="60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1"/>
    </row>
    <row r="29" spans="1:17">
      <c r="A29" s="13">
        <v>25</v>
      </c>
      <c r="B29" s="65" t="s">
        <v>181</v>
      </c>
      <c r="C29" s="68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1"/>
    </row>
    <row r="30" spans="1:17">
      <c r="A30" s="13">
        <v>26</v>
      </c>
      <c r="B30" s="65" t="s">
        <v>182</v>
      </c>
      <c r="C30" s="68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1"/>
    </row>
    <row r="31" spans="1:17">
      <c r="A31" s="13">
        <v>27</v>
      </c>
      <c r="B31" s="65" t="s">
        <v>184</v>
      </c>
      <c r="C31" s="68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1"/>
    </row>
    <row r="32" spans="1:17">
      <c r="A32" s="13">
        <v>28</v>
      </c>
      <c r="B32" s="65" t="s">
        <v>6</v>
      </c>
      <c r="C32" s="68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1"/>
    </row>
    <row r="33" spans="1:16">
      <c r="A33" s="13">
        <v>29</v>
      </c>
      <c r="B33" s="9" t="s">
        <v>142</v>
      </c>
      <c r="C33" s="60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1"/>
    </row>
    <row r="34" spans="1:16">
      <c r="A34" s="13">
        <v>30</v>
      </c>
      <c r="B34" s="9" t="s">
        <v>143</v>
      </c>
      <c r="C34" s="60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1"/>
    </row>
    <row r="35" spans="1:16">
      <c r="A35" s="13">
        <v>31</v>
      </c>
      <c r="B35" s="9" t="s">
        <v>10</v>
      </c>
      <c r="C35" s="60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1"/>
    </row>
    <row r="36" spans="1:16">
      <c r="A36" s="13">
        <v>32</v>
      </c>
      <c r="B36" s="9" t="s">
        <v>11</v>
      </c>
      <c r="C36" s="60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1"/>
    </row>
    <row r="37" spans="1:16">
      <c r="A37" s="13">
        <v>33</v>
      </c>
      <c r="B37" s="9" t="s">
        <v>12</v>
      </c>
      <c r="C37" s="60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1"/>
    </row>
    <row r="38" spans="1:16">
      <c r="A38" s="13">
        <v>34</v>
      </c>
      <c r="B38" s="9" t="s">
        <v>13</v>
      </c>
      <c r="C38" s="60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1"/>
    </row>
    <row r="39" spans="1:16">
      <c r="A39" s="13">
        <v>35</v>
      </c>
      <c r="B39" s="65" t="s">
        <v>14</v>
      </c>
      <c r="C39" s="60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1"/>
    </row>
    <row r="40" spans="1:16">
      <c r="A40" s="13">
        <v>36</v>
      </c>
      <c r="B40" s="9" t="s">
        <v>15</v>
      </c>
      <c r="C40" s="60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1"/>
    </row>
    <row r="41" spans="1:16">
      <c r="A41" s="13">
        <v>37</v>
      </c>
      <c r="B41" s="9" t="s">
        <v>144</v>
      </c>
      <c r="C41" s="60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1"/>
    </row>
    <row r="42" spans="1:16">
      <c r="A42" s="13">
        <v>38</v>
      </c>
      <c r="B42" s="9" t="s">
        <v>212</v>
      </c>
      <c r="C42" s="60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1"/>
    </row>
    <row r="43" spans="1:16">
      <c r="A43" s="13">
        <v>39</v>
      </c>
      <c r="B43" s="9" t="s">
        <v>213</v>
      </c>
      <c r="C43" s="60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1"/>
    </row>
    <row r="44" spans="1:16">
      <c r="A44" s="13">
        <v>40</v>
      </c>
      <c r="B44" s="9" t="s">
        <v>214</v>
      </c>
      <c r="C44" s="6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1"/>
    </row>
    <row r="45" spans="1:16">
      <c r="A45" s="13">
        <v>41</v>
      </c>
      <c r="B45" s="9" t="s">
        <v>215</v>
      </c>
      <c r="C45" s="69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1"/>
    </row>
    <row r="46" spans="1:16">
      <c r="A46" s="13">
        <v>42</v>
      </c>
      <c r="B46" s="9" t="s">
        <v>145</v>
      </c>
      <c r="C46" s="69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1"/>
    </row>
    <row r="47" spans="1:16">
      <c r="A47" s="13">
        <v>43</v>
      </c>
      <c r="B47" s="9" t="s">
        <v>216</v>
      </c>
      <c r="C47" s="6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1"/>
    </row>
    <row r="48" spans="1:16">
      <c r="A48" s="13">
        <v>44</v>
      </c>
      <c r="B48" s="65" t="s">
        <v>17</v>
      </c>
      <c r="C48" s="66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1"/>
    </row>
    <row r="49" spans="1:16">
      <c r="A49" s="13">
        <v>45</v>
      </c>
      <c r="B49" s="58" t="s">
        <v>19</v>
      </c>
      <c r="C49" s="69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1"/>
    </row>
    <row r="50" spans="1:16">
      <c r="A50" s="13">
        <v>46</v>
      </c>
      <c r="B50" s="65" t="s">
        <v>94</v>
      </c>
      <c r="C50" s="70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1"/>
    </row>
    <row r="51" spans="1:16">
      <c r="A51" s="13">
        <v>47</v>
      </c>
      <c r="B51" s="58" t="s">
        <v>23</v>
      </c>
      <c r="C51" s="67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1"/>
    </row>
    <row r="52" spans="1:16">
      <c r="A52" s="13">
        <v>48</v>
      </c>
      <c r="B52" s="58" t="s">
        <v>217</v>
      </c>
      <c r="C52" s="60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1"/>
    </row>
    <row r="53" spans="1:16">
      <c r="A53" s="13">
        <v>49</v>
      </c>
      <c r="B53" s="58" t="s">
        <v>218</v>
      </c>
      <c r="C53" s="46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1"/>
    </row>
    <row r="54" spans="1:16">
      <c r="A54" s="13">
        <v>50</v>
      </c>
      <c r="B54" s="58" t="s">
        <v>24</v>
      </c>
      <c r="C54" s="60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1"/>
    </row>
    <row r="55" spans="1:16">
      <c r="A55" s="13">
        <v>51</v>
      </c>
      <c r="B55" s="58" t="s">
        <v>219</v>
      </c>
      <c r="C55" s="71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1"/>
    </row>
    <row r="56" spans="1:16">
      <c r="A56" s="13">
        <v>52</v>
      </c>
      <c r="B56" s="65" t="s">
        <v>26</v>
      </c>
      <c r="C56" s="6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1"/>
    </row>
    <row r="57" spans="1:16">
      <c r="A57" s="13">
        <v>53</v>
      </c>
      <c r="B57" s="72" t="s">
        <v>95</v>
      </c>
      <c r="C57" s="73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1"/>
    </row>
    <row r="58" spans="1:16">
      <c r="A58" s="13">
        <v>54</v>
      </c>
      <c r="B58" s="72" t="s">
        <v>96</v>
      </c>
      <c r="C58" s="7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1"/>
    </row>
    <row r="59" spans="1:16">
      <c r="A59" s="13">
        <v>55</v>
      </c>
      <c r="B59" s="63" t="s">
        <v>185</v>
      </c>
      <c r="C59" s="92" t="s">
        <v>105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1"/>
    </row>
    <row r="60" spans="1:16" ht="16.5" thickBot="1">
      <c r="A60" s="13">
        <v>56</v>
      </c>
      <c r="B60" s="56"/>
      <c r="C60" s="75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1"/>
    </row>
    <row r="61" spans="1:16" ht="16.5" thickTop="1">
      <c r="A61" s="13">
        <v>57</v>
      </c>
      <c r="B61" s="63" t="s">
        <v>97</v>
      </c>
      <c r="C61" s="92" t="s">
        <v>105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1"/>
    </row>
    <row r="62" spans="1:16">
      <c r="A62" s="13">
        <v>58</v>
      </c>
      <c r="B62" s="76"/>
      <c r="C62" s="69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1"/>
    </row>
    <row r="63" spans="1:16">
      <c r="A63" s="13">
        <v>59</v>
      </c>
      <c r="B63" s="76" t="s">
        <v>101</v>
      </c>
      <c r="C63" s="87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1"/>
    </row>
    <row r="64" spans="1:16">
      <c r="A64" s="13">
        <v>60</v>
      </c>
      <c r="B64" s="76"/>
      <c r="C64" s="69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1"/>
    </row>
    <row r="65" spans="1:16">
      <c r="A65" s="13">
        <v>61</v>
      </c>
      <c r="B65" s="76"/>
      <c r="C65" s="69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1"/>
    </row>
    <row r="66" spans="1:16">
      <c r="A66" s="13">
        <v>62</v>
      </c>
      <c r="B66" s="41"/>
      <c r="C66" s="69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1"/>
    </row>
    <row r="67" spans="1:16">
      <c r="A67" s="13">
        <v>63</v>
      </c>
      <c r="B67" s="77" t="s">
        <v>29</v>
      </c>
      <c r="C67" s="67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1"/>
    </row>
    <row r="68" spans="1:16">
      <c r="A68" s="13">
        <v>64</v>
      </c>
      <c r="B68" s="77" t="s">
        <v>159</v>
      </c>
      <c r="C68" s="60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1"/>
    </row>
    <row r="69" spans="1:16">
      <c r="A69" s="13">
        <v>65</v>
      </c>
      <c r="B69" s="77" t="s">
        <v>98</v>
      </c>
      <c r="C69" s="57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1"/>
    </row>
    <row r="70" spans="1:16">
      <c r="A70" s="13">
        <v>66</v>
      </c>
      <c r="B70" s="77" t="s">
        <v>31</v>
      </c>
      <c r="C70" s="60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1"/>
    </row>
    <row r="71" spans="1:16">
      <c r="A71" s="13">
        <v>67</v>
      </c>
      <c r="B71" s="77" t="s">
        <v>32</v>
      </c>
      <c r="C71" s="78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1"/>
    </row>
    <row r="72" spans="1:16">
      <c r="A72" s="13">
        <v>68</v>
      </c>
      <c r="B72" s="65" t="s">
        <v>158</v>
      </c>
      <c r="C72" s="73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1"/>
    </row>
    <row r="73" spans="1:16">
      <c r="A73" s="13">
        <v>69</v>
      </c>
      <c r="B73" s="77" t="s">
        <v>99</v>
      </c>
      <c r="C73" s="69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1"/>
    </row>
    <row r="74" spans="1:16">
      <c r="A74" s="13">
        <v>70</v>
      </c>
      <c r="B74" s="77" t="s">
        <v>160</v>
      </c>
      <c r="C74" s="69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1"/>
    </row>
    <row r="75" spans="1:16">
      <c r="A75" s="13">
        <v>71</v>
      </c>
      <c r="B75" s="77" t="s">
        <v>162</v>
      </c>
      <c r="C75" s="79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1"/>
    </row>
    <row r="76" spans="1:16">
      <c r="A76" s="13">
        <v>72</v>
      </c>
      <c r="B76" s="77" t="s">
        <v>35</v>
      </c>
      <c r="C76" s="80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1"/>
    </row>
    <row r="77" spans="1:16">
      <c r="A77" s="13">
        <v>73</v>
      </c>
      <c r="B77" s="54" t="s">
        <v>37</v>
      </c>
      <c r="C77" s="79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1"/>
    </row>
    <row r="78" spans="1:16">
      <c r="A78" s="13">
        <v>74</v>
      </c>
      <c r="B78" s="54" t="s">
        <v>186</v>
      </c>
      <c r="C78" s="80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1"/>
    </row>
    <row r="79" spans="1:16">
      <c r="A79" s="13">
        <v>75</v>
      </c>
      <c r="B79" s="54" t="s">
        <v>165</v>
      </c>
      <c r="C79" s="81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1"/>
    </row>
    <row r="80" spans="1:16">
      <c r="A80" s="13">
        <v>76</v>
      </c>
      <c r="B80" s="54" t="s">
        <v>187</v>
      </c>
      <c r="C80" s="80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1"/>
    </row>
    <row r="81" spans="1:16">
      <c r="A81" s="13">
        <v>77</v>
      </c>
      <c r="B81" s="54" t="s">
        <v>188</v>
      </c>
      <c r="C81" s="80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1"/>
    </row>
    <row r="82" spans="1:16">
      <c r="A82" s="13">
        <v>78</v>
      </c>
      <c r="B82" s="54" t="s">
        <v>189</v>
      </c>
      <c r="C82" s="80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1"/>
    </row>
    <row r="83" spans="1:16">
      <c r="A83" s="13">
        <v>79</v>
      </c>
      <c r="B83" s="65" t="s">
        <v>220</v>
      </c>
      <c r="C83" s="82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1"/>
    </row>
    <row r="84" spans="1:16">
      <c r="A84" s="13">
        <v>80</v>
      </c>
      <c r="B84" s="54" t="s">
        <v>100</v>
      </c>
      <c r="C84" s="80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1"/>
    </row>
    <row r="85" spans="1:16">
      <c r="A85" s="13">
        <v>81</v>
      </c>
      <c r="B85" s="54" t="s">
        <v>42</v>
      </c>
      <c r="C85" s="80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1"/>
    </row>
    <row r="86" spans="1:16">
      <c r="A86" s="13">
        <v>82</v>
      </c>
      <c r="B86" s="54" t="s">
        <v>46</v>
      </c>
      <c r="C86" s="80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1"/>
    </row>
    <row r="87" spans="1:16">
      <c r="A87" s="13">
        <v>83</v>
      </c>
      <c r="B87" s="54" t="s">
        <v>52</v>
      </c>
      <c r="C87" s="79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1"/>
    </row>
    <row r="88" spans="1:16">
      <c r="A88" s="13">
        <v>84</v>
      </c>
      <c r="B88" s="54" t="s">
        <v>64</v>
      </c>
      <c r="C88" s="83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1"/>
    </row>
    <row r="89" spans="1:16">
      <c r="A89" s="13">
        <v>85</v>
      </c>
      <c r="B89" s="54" t="s">
        <v>190</v>
      </c>
      <c r="C89" s="83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1"/>
    </row>
    <row r="90" spans="1:16">
      <c r="A90" s="13">
        <v>86</v>
      </c>
      <c r="B90" s="54" t="s">
        <v>221</v>
      </c>
      <c r="C90" s="83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1"/>
    </row>
    <row r="91" spans="1:16">
      <c r="A91" s="13">
        <v>87</v>
      </c>
      <c r="B91" s="54" t="s">
        <v>222</v>
      </c>
      <c r="C91" s="83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1"/>
    </row>
    <row r="92" spans="1:16">
      <c r="A92" s="13">
        <v>88</v>
      </c>
      <c r="B92" s="54" t="s">
        <v>223</v>
      </c>
      <c r="C92" s="83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1"/>
    </row>
    <row r="93" spans="1:16">
      <c r="A93" s="13">
        <v>89</v>
      </c>
      <c r="B93" s="54" t="s">
        <v>224</v>
      </c>
      <c r="C93" s="83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1"/>
    </row>
    <row r="94" spans="1:16">
      <c r="A94" s="13">
        <v>90</v>
      </c>
      <c r="B94" s="54" t="s">
        <v>58</v>
      </c>
      <c r="C94" s="83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1"/>
    </row>
    <row r="95" spans="1:16">
      <c r="A95" s="13">
        <v>91</v>
      </c>
      <c r="B95" s="54" t="s">
        <v>59</v>
      </c>
      <c r="C95" s="83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1"/>
    </row>
    <row r="96" spans="1:16" ht="16.5" thickBot="1">
      <c r="A96" s="13">
        <v>92</v>
      </c>
      <c r="B96" s="54" t="s">
        <v>61</v>
      </c>
      <c r="C96" s="9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1"/>
    </row>
    <row r="97" spans="1:17" ht="16.5" thickTop="1">
      <c r="A97" s="13">
        <v>93</v>
      </c>
      <c r="B97" s="63" t="s">
        <v>101</v>
      </c>
      <c r="C97" s="88" t="s">
        <v>105</v>
      </c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1"/>
    </row>
    <row r="98" spans="1:17">
      <c r="A98" s="13">
        <v>94</v>
      </c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1"/>
    </row>
    <row r="99" spans="1:17">
      <c r="A99" s="13">
        <v>95</v>
      </c>
      <c r="B99" s="89" t="s">
        <v>102</v>
      </c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1"/>
    </row>
    <row r="100" spans="1:17">
      <c r="A100" s="13">
        <v>96</v>
      </c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1"/>
    </row>
    <row r="101" spans="1:17">
      <c r="A101" s="13">
        <v>97</v>
      </c>
      <c r="B101" s="89" t="s">
        <v>103</v>
      </c>
      <c r="C101" s="8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1"/>
    </row>
    <row r="102" spans="1:17">
      <c r="A102" s="13">
        <v>98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1"/>
    </row>
    <row r="103" spans="1:17" s="39" customFormat="1">
      <c r="A103" s="13">
        <v>99</v>
      </c>
      <c r="B103" s="90" t="s">
        <v>106</v>
      </c>
      <c r="C103" s="8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1"/>
      <c r="Q103" s="13"/>
    </row>
    <row r="104" spans="1:17" s="39" customFormat="1">
      <c r="A104" s="13">
        <v>100</v>
      </c>
      <c r="B104" s="90"/>
      <c r="C104" s="8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1"/>
      <c r="Q104" s="13"/>
    </row>
    <row r="105" spans="1:17" s="39" customFormat="1">
      <c r="A105" s="13">
        <v>101</v>
      </c>
      <c r="B105" s="91" t="s">
        <v>104</v>
      </c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1"/>
      <c r="Q105" s="13"/>
    </row>
    <row r="106" spans="1:17" s="39" customFormat="1">
      <c r="A106" s="13">
        <v>102</v>
      </c>
      <c r="B106" s="13"/>
      <c r="C106" s="8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1"/>
      <c r="Q106" s="13"/>
    </row>
    <row r="107" spans="1:17" s="39" customFormat="1">
      <c r="A107" s="13">
        <v>103</v>
      </c>
      <c r="B107" s="13"/>
      <c r="C107" s="85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1"/>
      <c r="Q107" s="13"/>
    </row>
    <row r="108" spans="1:17" s="39" customFormat="1">
      <c r="A108" s="13">
        <v>104</v>
      </c>
      <c r="B108" s="13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1"/>
      <c r="Q108" s="13"/>
    </row>
    <row r="109" spans="1:17" s="39" customFormat="1">
      <c r="A109" s="13">
        <v>105</v>
      </c>
      <c r="B109" s="54"/>
      <c r="C109" s="86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1"/>
      <c r="Q109" s="13"/>
    </row>
    <row r="110" spans="1:17" s="39" customFormat="1">
      <c r="A110" s="13">
        <v>106</v>
      </c>
      <c r="B110" s="54"/>
      <c r="C110" s="86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1"/>
      <c r="Q110" s="13"/>
    </row>
    <row r="111" spans="1:17" s="39" customFormat="1">
      <c r="A111" s="13">
        <v>107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1"/>
      <c r="Q111" s="13"/>
    </row>
    <row r="112" spans="1:17" s="39" customFormat="1">
      <c r="A112" s="13">
        <v>108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1"/>
      <c r="Q112" s="13"/>
    </row>
    <row r="113" spans="1:17" s="39" customFormat="1">
      <c r="A113" s="13">
        <v>109</v>
      </c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1"/>
      <c r="Q113" s="13"/>
    </row>
    <row r="114" spans="1:17" s="39" customFormat="1">
      <c r="A114" s="13">
        <v>110</v>
      </c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1"/>
      <c r="Q114" s="13"/>
    </row>
    <row r="115" spans="1:17" s="39" customFormat="1">
      <c r="A115" s="13">
        <v>111</v>
      </c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1"/>
      <c r="Q115" s="13"/>
    </row>
    <row r="116" spans="1:17" s="39" customFormat="1">
      <c r="A116" s="13">
        <v>112</v>
      </c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1"/>
      <c r="Q116" s="13"/>
    </row>
    <row r="117" spans="1:17" s="39" customFormat="1">
      <c r="A117" s="13">
        <v>113</v>
      </c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1"/>
      <c r="Q117" s="13"/>
    </row>
    <row r="118" spans="1:17" s="39" customFormat="1">
      <c r="A118" s="13">
        <v>114</v>
      </c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1"/>
      <c r="Q118" s="13"/>
    </row>
    <row r="119" spans="1:17" s="39" customFormat="1">
      <c r="A119" s="13">
        <v>115</v>
      </c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1"/>
      <c r="Q119" s="13"/>
    </row>
    <row r="120" spans="1:17" s="39" customFormat="1">
      <c r="A120" s="13">
        <v>116</v>
      </c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1"/>
      <c r="Q120" s="13"/>
    </row>
    <row r="121" spans="1:17" s="39" customFormat="1">
      <c r="A121" s="13">
        <v>117</v>
      </c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1"/>
      <c r="Q121" s="13"/>
    </row>
    <row r="122" spans="1:17" s="39" customFormat="1">
      <c r="A122" s="13">
        <v>118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1"/>
      <c r="Q122" s="13"/>
    </row>
    <row r="123" spans="1:17" s="39" customFormat="1">
      <c r="A123" s="13">
        <v>119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1"/>
      <c r="Q123" s="13"/>
    </row>
    <row r="124" spans="1:17" s="39" customFormat="1">
      <c r="A124" s="13">
        <v>120</v>
      </c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1"/>
      <c r="Q124" s="13"/>
    </row>
    <row r="125" spans="1:17" s="39" customFormat="1">
      <c r="A125" s="13">
        <v>121</v>
      </c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1"/>
      <c r="Q125" s="13"/>
    </row>
    <row r="126" spans="1:17" s="39" customFormat="1">
      <c r="A126" s="13">
        <v>122</v>
      </c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1"/>
      <c r="Q126" s="13"/>
    </row>
    <row r="127" spans="1:17" s="39" customFormat="1">
      <c r="A127" s="13">
        <v>123</v>
      </c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1"/>
      <c r="Q127" s="13"/>
    </row>
    <row r="128" spans="1:17" s="39" customFormat="1">
      <c r="A128" s="13">
        <v>124</v>
      </c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1"/>
      <c r="Q128" s="13"/>
    </row>
    <row r="129" spans="1:17" s="39" customFormat="1">
      <c r="A129" s="13">
        <v>125</v>
      </c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1"/>
      <c r="Q129" s="13"/>
    </row>
    <row r="130" spans="1:17" s="39" customFormat="1">
      <c r="A130" s="13">
        <v>126</v>
      </c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1"/>
      <c r="Q130" s="13"/>
    </row>
    <row r="131" spans="1:17" s="39" customFormat="1">
      <c r="A131" s="13">
        <v>127</v>
      </c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1"/>
      <c r="Q131" s="13"/>
    </row>
    <row r="132" spans="1:17" s="39" customFormat="1">
      <c r="A132" s="13">
        <v>128</v>
      </c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1"/>
      <c r="Q132" s="13"/>
    </row>
    <row r="133" spans="1:17" s="39" customFormat="1">
      <c r="A133" s="13">
        <v>129</v>
      </c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1"/>
      <c r="Q133" s="13"/>
    </row>
    <row r="134" spans="1:17" s="39" customFormat="1">
      <c r="A134" s="13">
        <v>130</v>
      </c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1"/>
      <c r="Q134" s="13"/>
    </row>
    <row r="135" spans="1:17" s="39" customFormat="1">
      <c r="A135" s="13">
        <v>131</v>
      </c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1"/>
      <c r="Q135" s="13"/>
    </row>
    <row r="136" spans="1:17" s="39" customFormat="1">
      <c r="A136" s="13">
        <v>132</v>
      </c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1"/>
      <c r="Q136" s="13"/>
    </row>
    <row r="137" spans="1:17" s="39" customFormat="1">
      <c r="A137" s="13">
        <v>133</v>
      </c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1"/>
      <c r="Q137" s="13"/>
    </row>
    <row r="138" spans="1:17" s="39" customFormat="1">
      <c r="A138" s="13">
        <v>134</v>
      </c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1"/>
      <c r="Q138" s="13"/>
    </row>
    <row r="139" spans="1:17" s="39" customFormat="1">
      <c r="A139" s="13">
        <v>135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1"/>
      <c r="Q139" s="13"/>
    </row>
    <row r="140" spans="1:17" s="39" customFormat="1">
      <c r="A140" s="13">
        <v>136</v>
      </c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1"/>
      <c r="Q140" s="13"/>
    </row>
    <row r="141" spans="1:17" s="39" customFormat="1">
      <c r="A141" s="13">
        <v>137</v>
      </c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1"/>
      <c r="Q141" s="13"/>
    </row>
    <row r="142" spans="1:17" s="39" customFormat="1">
      <c r="A142" s="13">
        <v>138</v>
      </c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1"/>
      <c r="Q142" s="13"/>
    </row>
    <row r="143" spans="1:17" s="39" customFormat="1">
      <c r="A143" s="13">
        <v>139</v>
      </c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1"/>
      <c r="Q143" s="13"/>
    </row>
    <row r="144" spans="1:17" s="39" customFormat="1">
      <c r="A144" s="13">
        <v>140</v>
      </c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1"/>
      <c r="Q144" s="13"/>
    </row>
    <row r="145" spans="1:17" s="39" customFormat="1">
      <c r="A145" s="13">
        <v>141</v>
      </c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1"/>
      <c r="Q145" s="13"/>
    </row>
    <row r="146" spans="1:17" s="39" customFormat="1">
      <c r="A146" s="13">
        <v>142</v>
      </c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1"/>
      <c r="Q146" s="13"/>
    </row>
    <row r="147" spans="1:17" s="39" customFormat="1">
      <c r="A147" s="13">
        <v>143</v>
      </c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1"/>
      <c r="Q147" s="13"/>
    </row>
    <row r="148" spans="1:17" s="39" customFormat="1">
      <c r="A148" s="13">
        <v>144</v>
      </c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1"/>
      <c r="Q148" s="13"/>
    </row>
    <row r="149" spans="1:17" s="39" customFormat="1">
      <c r="A149" s="13">
        <v>145</v>
      </c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1"/>
      <c r="Q149" s="13"/>
    </row>
    <row r="150" spans="1:17" s="39" customFormat="1">
      <c r="A150" s="13">
        <v>146</v>
      </c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1"/>
      <c r="Q150" s="13"/>
    </row>
    <row r="151" spans="1:17" s="39" customFormat="1">
      <c r="A151" s="13">
        <v>147</v>
      </c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1"/>
      <c r="Q151" s="13"/>
    </row>
    <row r="152" spans="1:17" s="39" customFormat="1">
      <c r="A152" s="13">
        <v>148</v>
      </c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1"/>
      <c r="Q152" s="13"/>
    </row>
    <row r="153" spans="1:17" s="39" customFormat="1">
      <c r="A153" s="13">
        <v>149</v>
      </c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1"/>
      <c r="Q153" s="13"/>
    </row>
    <row r="154" spans="1:17" s="39" customFormat="1">
      <c r="A154" s="13">
        <v>150</v>
      </c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1"/>
      <c r="Q154" s="13"/>
    </row>
    <row r="155" spans="1:17" s="39" customFormat="1">
      <c r="A155" s="13">
        <v>151</v>
      </c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1"/>
      <c r="Q155" s="13"/>
    </row>
    <row r="156" spans="1:17" s="39" customFormat="1">
      <c r="A156" s="13">
        <v>152</v>
      </c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1"/>
      <c r="Q156" s="13"/>
    </row>
    <row r="157" spans="1:17" s="39" customFormat="1">
      <c r="A157" s="13">
        <v>153</v>
      </c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1"/>
      <c r="Q157" s="13"/>
    </row>
    <row r="158" spans="1:17" s="39" customFormat="1">
      <c r="A158" s="13">
        <v>154</v>
      </c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1"/>
      <c r="Q158" s="13"/>
    </row>
    <row r="159" spans="1:17" s="39" customFormat="1">
      <c r="A159" s="13">
        <v>155</v>
      </c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1"/>
      <c r="Q159" s="13"/>
    </row>
    <row r="160" spans="1:17" s="39" customFormat="1">
      <c r="A160" s="13">
        <v>156</v>
      </c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1"/>
      <c r="Q160" s="13"/>
    </row>
    <row r="161" spans="1:17" s="39" customFormat="1">
      <c r="A161" s="13">
        <v>157</v>
      </c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1"/>
      <c r="Q161" s="13"/>
    </row>
    <row r="162" spans="1:17" s="39" customFormat="1">
      <c r="A162" s="13">
        <v>158</v>
      </c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1"/>
      <c r="Q162" s="13"/>
    </row>
    <row r="163" spans="1:17" s="39" customFormat="1">
      <c r="A163" s="13">
        <v>159</v>
      </c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1"/>
      <c r="Q163" s="13"/>
    </row>
    <row r="164" spans="1:17" s="39" customFormat="1">
      <c r="A164" s="13">
        <v>160</v>
      </c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1"/>
      <c r="Q164" s="13"/>
    </row>
    <row r="165" spans="1:17" s="39" customFormat="1">
      <c r="A165" s="13">
        <v>161</v>
      </c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1"/>
      <c r="Q165" s="13"/>
    </row>
    <row r="166" spans="1:17" s="39" customFormat="1">
      <c r="A166" s="13">
        <v>162</v>
      </c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1"/>
      <c r="Q166" s="13"/>
    </row>
    <row r="167" spans="1:17" s="39" customFormat="1">
      <c r="A167" s="13">
        <v>163</v>
      </c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1"/>
      <c r="Q167" s="13"/>
    </row>
    <row r="168" spans="1:17" s="39" customFormat="1">
      <c r="A168" s="13">
        <v>164</v>
      </c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1"/>
      <c r="Q168" s="13"/>
    </row>
    <row r="169" spans="1:17" s="39" customFormat="1">
      <c r="A169" s="13">
        <v>165</v>
      </c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1"/>
      <c r="Q169" s="13"/>
    </row>
    <row r="170" spans="1:17" s="39" customFormat="1">
      <c r="A170" s="13">
        <v>166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1"/>
      <c r="Q170" s="13"/>
    </row>
    <row r="171" spans="1:17" s="39" customFormat="1">
      <c r="A171" s="13">
        <v>167</v>
      </c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1"/>
      <c r="Q171" s="13"/>
    </row>
    <row r="172" spans="1:17" s="39" customFormat="1">
      <c r="A172" s="13">
        <v>168</v>
      </c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1"/>
      <c r="Q172" s="13"/>
    </row>
    <row r="173" spans="1:17" s="39" customFormat="1">
      <c r="A173" s="13">
        <v>169</v>
      </c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1"/>
      <c r="Q173" s="13"/>
    </row>
    <row r="174" spans="1:17" s="39" customFormat="1">
      <c r="A174" s="13">
        <v>170</v>
      </c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1"/>
      <c r="Q174" s="13"/>
    </row>
    <row r="175" spans="1:17" s="39" customFormat="1">
      <c r="A175" s="13">
        <v>171</v>
      </c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1"/>
      <c r="Q175" s="13"/>
    </row>
    <row r="176" spans="1:17" s="39" customFormat="1">
      <c r="A176" s="13">
        <v>172</v>
      </c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1"/>
      <c r="Q176" s="13"/>
    </row>
    <row r="177" spans="1:17" s="39" customFormat="1">
      <c r="A177" s="13">
        <v>173</v>
      </c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1"/>
      <c r="Q177" s="13"/>
    </row>
    <row r="178" spans="1:17" s="39" customFormat="1">
      <c r="A178" s="13">
        <v>174</v>
      </c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1"/>
      <c r="Q178" s="13"/>
    </row>
    <row r="179" spans="1:17" s="39" customFormat="1">
      <c r="A179" s="13">
        <v>175</v>
      </c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1"/>
      <c r="Q179" s="13"/>
    </row>
    <row r="180" spans="1:17" s="39" customFormat="1">
      <c r="A180" s="13">
        <v>176</v>
      </c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1"/>
      <c r="Q180" s="13"/>
    </row>
    <row r="181" spans="1:17" s="39" customFormat="1">
      <c r="A181" s="13">
        <v>177</v>
      </c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1"/>
      <c r="Q181" s="13"/>
    </row>
    <row r="182" spans="1:17" s="39" customFormat="1">
      <c r="A182" s="13">
        <v>178</v>
      </c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1"/>
      <c r="Q182" s="13"/>
    </row>
    <row r="183" spans="1:17" s="39" customFormat="1">
      <c r="A183" s="13">
        <v>179</v>
      </c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1"/>
      <c r="Q183" s="13"/>
    </row>
    <row r="184" spans="1:17" s="39" customFormat="1">
      <c r="A184" s="13">
        <v>180</v>
      </c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1"/>
      <c r="Q184" s="13"/>
    </row>
    <row r="185" spans="1:17" s="39" customFormat="1">
      <c r="A185" s="13">
        <v>181</v>
      </c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1"/>
      <c r="Q185" s="13"/>
    </row>
    <row r="186" spans="1:17" s="39" customFormat="1">
      <c r="A186" s="13">
        <v>182</v>
      </c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1"/>
      <c r="Q186" s="13"/>
    </row>
    <row r="187" spans="1:17" s="39" customFormat="1">
      <c r="A187" s="13">
        <v>183</v>
      </c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1"/>
      <c r="Q187" s="13"/>
    </row>
    <row r="188" spans="1:17" s="39" customFormat="1">
      <c r="A188" s="13">
        <v>184</v>
      </c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1"/>
      <c r="Q188" s="13"/>
    </row>
    <row r="189" spans="1:17" s="39" customFormat="1">
      <c r="A189" s="13">
        <v>185</v>
      </c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1"/>
      <c r="Q189" s="13"/>
    </row>
    <row r="190" spans="1:17" s="39" customFormat="1">
      <c r="A190" s="13">
        <v>186</v>
      </c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1"/>
      <c r="Q190" s="13"/>
    </row>
    <row r="191" spans="1:17" s="39" customFormat="1">
      <c r="A191" s="13">
        <v>187</v>
      </c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1"/>
      <c r="Q191" s="13"/>
    </row>
    <row r="192" spans="1:17" s="39" customFormat="1">
      <c r="A192" s="13">
        <v>188</v>
      </c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1"/>
      <c r="Q192" s="13"/>
    </row>
    <row r="193" spans="1:17" s="39" customFormat="1">
      <c r="A193" s="13">
        <v>189</v>
      </c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1"/>
      <c r="Q193" s="13"/>
    </row>
    <row r="194" spans="1:17" s="39" customFormat="1">
      <c r="A194" s="13">
        <v>190</v>
      </c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1"/>
      <c r="Q194" s="13"/>
    </row>
    <row r="195" spans="1:17" s="39" customFormat="1">
      <c r="A195" s="13">
        <v>191</v>
      </c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1"/>
      <c r="Q195" s="13"/>
    </row>
    <row r="196" spans="1:17" s="39" customFormat="1">
      <c r="A196" s="13">
        <v>192</v>
      </c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1"/>
      <c r="Q196" s="13"/>
    </row>
    <row r="197" spans="1:17" s="39" customFormat="1">
      <c r="A197" s="13">
        <v>193</v>
      </c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1"/>
      <c r="Q197" s="13"/>
    </row>
    <row r="198" spans="1:17" s="39" customFormat="1">
      <c r="A198" s="13">
        <v>194</v>
      </c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1"/>
      <c r="Q198" s="13"/>
    </row>
    <row r="199" spans="1:17" s="39" customFormat="1">
      <c r="A199" s="13">
        <v>195</v>
      </c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1"/>
      <c r="Q199" s="13"/>
    </row>
    <row r="200" spans="1:17" s="39" customFormat="1">
      <c r="A200" s="13">
        <v>196</v>
      </c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1"/>
      <c r="Q200" s="13"/>
    </row>
    <row r="201" spans="1:17" s="39" customFormat="1">
      <c r="A201" s="13">
        <v>197</v>
      </c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1"/>
      <c r="Q201" s="13"/>
    </row>
    <row r="202" spans="1:17" s="39" customFormat="1">
      <c r="A202" s="13">
        <v>198</v>
      </c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1"/>
      <c r="Q202" s="13"/>
    </row>
    <row r="203" spans="1:17" s="39" customFormat="1">
      <c r="A203" s="13">
        <v>199</v>
      </c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1"/>
      <c r="Q203" s="13"/>
    </row>
    <row r="204" spans="1:17" s="39" customFormat="1">
      <c r="A204" s="13">
        <v>200</v>
      </c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1"/>
      <c r="Q204" s="13"/>
    </row>
    <row r="205" spans="1:17" s="39" customFormat="1">
      <c r="A205" s="13">
        <v>201</v>
      </c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1"/>
      <c r="Q205" s="13"/>
    </row>
    <row r="206" spans="1:17" s="39" customFormat="1">
      <c r="A206" s="13">
        <v>202</v>
      </c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1"/>
      <c r="Q206" s="13"/>
    </row>
    <row r="207" spans="1:17" s="39" customFormat="1">
      <c r="A207" s="13">
        <v>203</v>
      </c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1"/>
      <c r="Q207" s="13"/>
    </row>
    <row r="208" spans="1:17" s="39" customFormat="1">
      <c r="A208" s="13">
        <v>204</v>
      </c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1"/>
      <c r="Q208" s="13"/>
    </row>
    <row r="209" spans="1:17" s="39" customFormat="1">
      <c r="A209" s="13">
        <v>205</v>
      </c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1"/>
      <c r="Q209" s="13"/>
    </row>
    <row r="210" spans="1:17" s="39" customFormat="1">
      <c r="A210" s="13">
        <v>206</v>
      </c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1"/>
      <c r="Q210" s="13"/>
    </row>
    <row r="211" spans="1:17" s="39" customFormat="1">
      <c r="A211" s="13">
        <v>207</v>
      </c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1"/>
      <c r="Q211" s="13"/>
    </row>
    <row r="212" spans="1:17" s="39" customFormat="1">
      <c r="A212" s="13">
        <v>208</v>
      </c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1"/>
      <c r="Q212" s="13"/>
    </row>
    <row r="213" spans="1:17" s="39" customFormat="1">
      <c r="A213" s="13">
        <v>209</v>
      </c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1"/>
      <c r="Q213" s="13"/>
    </row>
    <row r="214" spans="1:17" s="39" customFormat="1">
      <c r="A214" s="13">
        <v>210</v>
      </c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1"/>
      <c r="Q214" s="13"/>
    </row>
    <row r="215" spans="1:17" s="39" customFormat="1">
      <c r="A215" s="13">
        <v>211</v>
      </c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1"/>
      <c r="Q215" s="13"/>
    </row>
    <row r="216" spans="1:17" s="39" customFormat="1">
      <c r="A216" s="13">
        <v>212</v>
      </c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1"/>
      <c r="Q216" s="13"/>
    </row>
    <row r="217" spans="1:17" s="39" customFormat="1">
      <c r="A217" s="13">
        <v>213</v>
      </c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1"/>
      <c r="Q217" s="13"/>
    </row>
    <row r="218" spans="1:17" s="39" customFormat="1">
      <c r="A218" s="13">
        <v>214</v>
      </c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1"/>
      <c r="Q218" s="13"/>
    </row>
    <row r="219" spans="1:17" s="39" customFormat="1">
      <c r="A219" s="13">
        <v>215</v>
      </c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1"/>
      <c r="Q219" s="13"/>
    </row>
    <row r="220" spans="1:17" s="39" customFormat="1">
      <c r="A220" s="13">
        <v>216</v>
      </c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1"/>
      <c r="Q220" s="13"/>
    </row>
    <row r="221" spans="1:17" s="39" customFormat="1">
      <c r="A221" s="13">
        <v>217</v>
      </c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1"/>
      <c r="Q221" s="13"/>
    </row>
    <row r="222" spans="1:17" s="39" customFormat="1">
      <c r="A222" s="13">
        <v>218</v>
      </c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1"/>
      <c r="Q222" s="13"/>
    </row>
    <row r="223" spans="1:17" s="39" customFormat="1">
      <c r="A223" s="13">
        <v>219</v>
      </c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1"/>
      <c r="Q223" s="13"/>
    </row>
    <row r="224" spans="1:17" s="39" customFormat="1">
      <c r="A224" s="13">
        <v>220</v>
      </c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1"/>
      <c r="Q224" s="13"/>
    </row>
    <row r="225" spans="1:17" s="39" customFormat="1">
      <c r="A225" s="13">
        <v>221</v>
      </c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1"/>
      <c r="Q225" s="13"/>
    </row>
    <row r="226" spans="1:17" s="39" customFormat="1">
      <c r="A226" s="13">
        <v>222</v>
      </c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1"/>
      <c r="Q226" s="13"/>
    </row>
    <row r="227" spans="1:17" s="39" customFormat="1">
      <c r="A227" s="13">
        <v>223</v>
      </c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1"/>
      <c r="Q227" s="13"/>
    </row>
    <row r="228" spans="1:17" s="39" customFormat="1">
      <c r="A228" s="13">
        <v>224</v>
      </c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1"/>
      <c r="Q228" s="13"/>
    </row>
    <row r="229" spans="1:17" s="39" customFormat="1">
      <c r="A229" s="13">
        <v>225</v>
      </c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1"/>
      <c r="Q229" s="13"/>
    </row>
    <row r="230" spans="1:17" s="39" customFormat="1">
      <c r="A230" s="13">
        <v>226</v>
      </c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1"/>
      <c r="Q230" s="13"/>
    </row>
    <row r="231" spans="1:17" s="39" customFormat="1">
      <c r="A231" s="13">
        <v>227</v>
      </c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1"/>
      <c r="Q231" s="13"/>
    </row>
    <row r="232" spans="1:17" s="39" customFormat="1">
      <c r="A232" s="13">
        <v>228</v>
      </c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1"/>
      <c r="Q232" s="13"/>
    </row>
    <row r="233" spans="1:17" s="39" customFormat="1">
      <c r="A233" s="13">
        <v>229</v>
      </c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1"/>
      <c r="Q233" s="13"/>
    </row>
    <row r="234" spans="1:17" s="39" customFormat="1">
      <c r="A234" s="13">
        <v>230</v>
      </c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1"/>
      <c r="Q234" s="13"/>
    </row>
    <row r="235" spans="1:17" s="39" customFormat="1">
      <c r="A235" s="13">
        <v>231</v>
      </c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1"/>
      <c r="Q235" s="13"/>
    </row>
    <row r="236" spans="1:17" s="39" customFormat="1">
      <c r="A236" s="13">
        <v>232</v>
      </c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1"/>
      <c r="Q236" s="13"/>
    </row>
    <row r="237" spans="1:17" s="39" customFormat="1">
      <c r="A237" s="13">
        <v>233</v>
      </c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1"/>
      <c r="Q237" s="13"/>
    </row>
    <row r="238" spans="1:17" s="39" customFormat="1">
      <c r="A238" s="13">
        <v>234</v>
      </c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1"/>
      <c r="Q238" s="13"/>
    </row>
    <row r="239" spans="1:17" s="39" customFormat="1">
      <c r="A239" s="13">
        <v>235</v>
      </c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1"/>
      <c r="Q239" s="13"/>
    </row>
    <row r="240" spans="1:17" s="39" customFormat="1">
      <c r="A240" s="13">
        <v>236</v>
      </c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1"/>
      <c r="Q240" s="13"/>
    </row>
    <row r="241" spans="1:17" s="39" customFormat="1">
      <c r="A241" s="13">
        <v>237</v>
      </c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1"/>
      <c r="Q241" s="13"/>
    </row>
    <row r="242" spans="1:17" s="39" customFormat="1">
      <c r="A242" s="13">
        <v>238</v>
      </c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1"/>
      <c r="Q242" s="13"/>
    </row>
    <row r="243" spans="1:17" s="39" customFormat="1">
      <c r="A243" s="13">
        <v>239</v>
      </c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1"/>
      <c r="Q243" s="13"/>
    </row>
    <row r="244" spans="1:17" s="39" customFormat="1">
      <c r="A244" s="13">
        <v>240</v>
      </c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1"/>
      <c r="Q244" s="13"/>
    </row>
    <row r="245" spans="1:17" s="39" customFormat="1">
      <c r="A245" s="13">
        <v>241</v>
      </c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1"/>
      <c r="Q245" s="13"/>
    </row>
    <row r="246" spans="1:17" s="39" customFormat="1">
      <c r="A246" s="13">
        <v>242</v>
      </c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1"/>
      <c r="Q246" s="13"/>
    </row>
    <row r="247" spans="1:17" s="39" customFormat="1">
      <c r="A247" s="13">
        <v>243</v>
      </c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1"/>
      <c r="Q247" s="13"/>
    </row>
    <row r="248" spans="1:17" s="39" customFormat="1">
      <c r="A248" s="13">
        <v>244</v>
      </c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1"/>
      <c r="Q248" s="13"/>
    </row>
    <row r="249" spans="1:17" s="39" customFormat="1">
      <c r="A249" s="13">
        <v>245</v>
      </c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1"/>
      <c r="Q249" s="13"/>
    </row>
    <row r="250" spans="1:17" s="39" customFormat="1">
      <c r="A250" s="13">
        <v>246</v>
      </c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1"/>
      <c r="Q250" s="13"/>
    </row>
    <row r="251" spans="1:17" s="39" customFormat="1">
      <c r="A251" s="13">
        <v>247</v>
      </c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1"/>
      <c r="Q251" s="13"/>
    </row>
    <row r="252" spans="1:17" s="39" customFormat="1">
      <c r="A252" s="13">
        <v>248</v>
      </c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1"/>
      <c r="Q252" s="13"/>
    </row>
    <row r="253" spans="1:17" s="39" customFormat="1">
      <c r="A253" s="13">
        <v>249</v>
      </c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1"/>
      <c r="Q253" s="13"/>
    </row>
    <row r="254" spans="1:17" s="39" customFormat="1">
      <c r="A254" s="13">
        <v>250</v>
      </c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1"/>
      <c r="Q254" s="13"/>
    </row>
    <row r="255" spans="1:17" s="39" customFormat="1">
      <c r="A255" s="13">
        <v>251</v>
      </c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1"/>
      <c r="Q255" s="13"/>
    </row>
    <row r="256" spans="1:17" s="39" customFormat="1">
      <c r="A256" s="13">
        <v>252</v>
      </c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1"/>
      <c r="Q256" s="13"/>
    </row>
    <row r="257" spans="1:17" s="39" customFormat="1">
      <c r="A257" s="13">
        <v>253</v>
      </c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1"/>
      <c r="Q257" s="13"/>
    </row>
    <row r="258" spans="1:17" s="39" customFormat="1">
      <c r="A258" s="13">
        <v>254</v>
      </c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1"/>
      <c r="Q258" s="13"/>
    </row>
    <row r="259" spans="1:17" s="39" customFormat="1">
      <c r="A259" s="13">
        <v>255</v>
      </c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1"/>
      <c r="Q259" s="13"/>
    </row>
    <row r="260" spans="1:17" s="39" customFormat="1">
      <c r="A260" s="13">
        <v>256</v>
      </c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1"/>
      <c r="Q260" s="13"/>
    </row>
    <row r="261" spans="1:17" s="39" customFormat="1">
      <c r="A261" s="13">
        <v>257</v>
      </c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1"/>
      <c r="Q261" s="13"/>
    </row>
    <row r="262" spans="1:17" s="39" customFormat="1">
      <c r="A262" s="13">
        <v>258</v>
      </c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1"/>
      <c r="Q262" s="13"/>
    </row>
    <row r="263" spans="1:17" s="39" customFormat="1">
      <c r="A263" s="13">
        <v>259</v>
      </c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1"/>
      <c r="Q263" s="13"/>
    </row>
    <row r="264" spans="1:17" s="39" customFormat="1">
      <c r="A264" s="13">
        <v>260</v>
      </c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1"/>
      <c r="Q264" s="13"/>
    </row>
    <row r="265" spans="1:17" s="39" customFormat="1">
      <c r="A265" s="13">
        <v>261</v>
      </c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1"/>
      <c r="Q265" s="13"/>
    </row>
    <row r="266" spans="1:17" s="39" customFormat="1">
      <c r="A266" s="13">
        <v>262</v>
      </c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1"/>
      <c r="Q266" s="13"/>
    </row>
    <row r="267" spans="1:17" s="39" customFormat="1">
      <c r="A267" s="13">
        <v>263</v>
      </c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1"/>
      <c r="Q267" s="13"/>
    </row>
    <row r="268" spans="1:17" s="39" customFormat="1">
      <c r="A268" s="13">
        <v>264</v>
      </c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1"/>
      <c r="Q268" s="13"/>
    </row>
    <row r="269" spans="1:17" s="39" customFormat="1">
      <c r="A269" s="13">
        <v>265</v>
      </c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1"/>
      <c r="Q269" s="13"/>
    </row>
    <row r="270" spans="1:17" s="39" customFormat="1">
      <c r="A270" s="13">
        <v>266</v>
      </c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1"/>
      <c r="Q270" s="13"/>
    </row>
    <row r="271" spans="1:17" s="39" customFormat="1">
      <c r="A271" s="13">
        <v>267</v>
      </c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1"/>
      <c r="Q271" s="13"/>
    </row>
    <row r="272" spans="1:17" s="39" customFormat="1">
      <c r="A272" s="13">
        <v>268</v>
      </c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1"/>
      <c r="Q272" s="13"/>
    </row>
    <row r="273" spans="1:17" s="39" customFormat="1">
      <c r="A273" s="13">
        <v>269</v>
      </c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1"/>
      <c r="Q273" s="13"/>
    </row>
    <row r="274" spans="1:17" s="39" customFormat="1">
      <c r="A274" s="13">
        <v>270</v>
      </c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1"/>
      <c r="Q274" s="13"/>
    </row>
    <row r="275" spans="1:17" s="39" customFormat="1">
      <c r="A275" s="13">
        <v>271</v>
      </c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1"/>
      <c r="Q275" s="13"/>
    </row>
    <row r="276" spans="1:17" s="39" customFormat="1">
      <c r="A276" s="13">
        <v>272</v>
      </c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1"/>
      <c r="Q276" s="13"/>
    </row>
    <row r="277" spans="1:17" s="39" customFormat="1">
      <c r="A277" s="13">
        <v>273</v>
      </c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1"/>
      <c r="Q277" s="13"/>
    </row>
    <row r="278" spans="1:17" s="39" customFormat="1">
      <c r="A278" s="13">
        <v>274</v>
      </c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1"/>
      <c r="Q278" s="13"/>
    </row>
    <row r="279" spans="1:17" s="39" customFormat="1">
      <c r="A279" s="13">
        <v>275</v>
      </c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1"/>
      <c r="Q279" s="13"/>
    </row>
    <row r="280" spans="1:17" s="39" customFormat="1">
      <c r="A280" s="13">
        <v>276</v>
      </c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1"/>
      <c r="Q280" s="13"/>
    </row>
    <row r="281" spans="1:17" s="39" customFormat="1">
      <c r="A281" s="13">
        <v>277</v>
      </c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1"/>
      <c r="Q281" s="13"/>
    </row>
    <row r="282" spans="1:17" s="39" customFormat="1">
      <c r="A282" s="13">
        <v>278</v>
      </c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1"/>
      <c r="Q282" s="13"/>
    </row>
    <row r="283" spans="1:17" s="39" customFormat="1">
      <c r="A283" s="13">
        <v>279</v>
      </c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1"/>
      <c r="Q283" s="13"/>
    </row>
    <row r="284" spans="1:17" s="39" customFormat="1">
      <c r="A284" s="13">
        <v>280</v>
      </c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1"/>
      <c r="Q284" s="13"/>
    </row>
    <row r="285" spans="1:17" s="39" customFormat="1">
      <c r="A285" s="13">
        <v>281</v>
      </c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1"/>
      <c r="Q285" s="13"/>
    </row>
    <row r="286" spans="1:17" s="39" customFormat="1">
      <c r="A286" s="13">
        <v>282</v>
      </c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1"/>
      <c r="Q286" s="13"/>
    </row>
    <row r="287" spans="1:17" s="39" customFormat="1">
      <c r="A287" s="13">
        <v>283</v>
      </c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1"/>
      <c r="Q287" s="13"/>
    </row>
    <row r="288" spans="1:17" s="39" customFormat="1">
      <c r="A288" s="13">
        <v>284</v>
      </c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1"/>
      <c r="Q288" s="13"/>
    </row>
    <row r="289" spans="1:17" s="39" customFormat="1">
      <c r="A289" s="13">
        <v>285</v>
      </c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1"/>
      <c r="Q289" s="13"/>
    </row>
    <row r="290" spans="1:17" s="39" customFormat="1">
      <c r="A290" s="13">
        <v>286</v>
      </c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1"/>
      <c r="Q290" s="13"/>
    </row>
    <row r="291" spans="1:17" s="39" customFormat="1">
      <c r="A291" s="13">
        <v>287</v>
      </c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1"/>
      <c r="Q291" s="13"/>
    </row>
    <row r="292" spans="1:17" s="39" customFormat="1">
      <c r="A292" s="13">
        <v>288</v>
      </c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1"/>
      <c r="Q292" s="13"/>
    </row>
    <row r="293" spans="1:17" s="39" customFormat="1">
      <c r="A293" s="13">
        <v>289</v>
      </c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1"/>
      <c r="Q293" s="13"/>
    </row>
    <row r="294" spans="1:17" s="39" customFormat="1">
      <c r="A294" s="13">
        <v>290</v>
      </c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1"/>
      <c r="Q294" s="13"/>
    </row>
    <row r="295" spans="1:17" s="39" customFormat="1">
      <c r="A295" s="13">
        <v>291</v>
      </c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1"/>
      <c r="Q295" s="13"/>
    </row>
    <row r="296" spans="1:17" s="39" customFormat="1">
      <c r="A296" s="13">
        <v>292</v>
      </c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1"/>
      <c r="Q296" s="13"/>
    </row>
    <row r="297" spans="1:17" s="39" customFormat="1">
      <c r="A297" s="13">
        <v>293</v>
      </c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1"/>
      <c r="Q297" s="13"/>
    </row>
    <row r="298" spans="1:17" s="39" customFormat="1">
      <c r="A298" s="13">
        <v>294</v>
      </c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1"/>
      <c r="Q298" s="13"/>
    </row>
    <row r="299" spans="1:17" s="39" customFormat="1">
      <c r="A299" s="13">
        <v>295</v>
      </c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1"/>
      <c r="Q299" s="13"/>
    </row>
    <row r="300" spans="1:17" s="39" customFormat="1">
      <c r="A300" s="13">
        <v>296</v>
      </c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1"/>
      <c r="Q300" s="13"/>
    </row>
    <row r="301" spans="1:17" s="39" customFormat="1">
      <c r="A301" s="13">
        <v>297</v>
      </c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1"/>
      <c r="Q301" s="13"/>
    </row>
    <row r="302" spans="1:17" s="39" customFormat="1">
      <c r="A302" s="13">
        <v>298</v>
      </c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1"/>
      <c r="Q302" s="13"/>
    </row>
    <row r="303" spans="1:17" s="39" customFormat="1">
      <c r="A303" s="13">
        <v>299</v>
      </c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1"/>
      <c r="Q303" s="13"/>
    </row>
    <row r="304" spans="1:17" s="39" customFormat="1">
      <c r="A304" s="13">
        <v>300</v>
      </c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1"/>
      <c r="Q304" s="13"/>
    </row>
    <row r="305" spans="1:17" s="39" customFormat="1">
      <c r="A305" s="13">
        <v>301</v>
      </c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1"/>
      <c r="Q305" s="13"/>
    </row>
    <row r="306" spans="1:17" s="39" customFormat="1">
      <c r="A306" s="13">
        <v>302</v>
      </c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1"/>
      <c r="Q306" s="13"/>
    </row>
    <row r="307" spans="1:17" s="39" customFormat="1">
      <c r="A307" s="13">
        <v>303</v>
      </c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1"/>
      <c r="Q307" s="13"/>
    </row>
    <row r="308" spans="1:17" s="39" customFormat="1">
      <c r="A308" s="13">
        <v>304</v>
      </c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1"/>
      <c r="Q308" s="13"/>
    </row>
    <row r="309" spans="1:17" s="39" customFormat="1">
      <c r="A309" s="13">
        <v>305</v>
      </c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1"/>
      <c r="Q309" s="13"/>
    </row>
    <row r="310" spans="1:17" s="39" customFormat="1">
      <c r="A310" s="13">
        <v>306</v>
      </c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1"/>
      <c r="Q310" s="13"/>
    </row>
    <row r="311" spans="1:17" s="39" customFormat="1">
      <c r="A311" s="13">
        <v>307</v>
      </c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1"/>
      <c r="Q311" s="13"/>
    </row>
    <row r="312" spans="1:17" s="39" customFormat="1">
      <c r="A312" s="13">
        <v>308</v>
      </c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1"/>
      <c r="Q312" s="13"/>
    </row>
    <row r="313" spans="1:17" s="39" customFormat="1">
      <c r="A313" s="13">
        <v>309</v>
      </c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1"/>
      <c r="Q313" s="13"/>
    </row>
    <row r="314" spans="1:17" s="39" customFormat="1">
      <c r="A314" s="13">
        <v>310</v>
      </c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1"/>
      <c r="Q314" s="13"/>
    </row>
    <row r="315" spans="1:17" s="39" customFormat="1">
      <c r="A315" s="13">
        <v>311</v>
      </c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1"/>
      <c r="Q315" s="13"/>
    </row>
    <row r="316" spans="1:17" s="39" customFormat="1">
      <c r="A316" s="13">
        <v>312</v>
      </c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1"/>
      <c r="Q316" s="13"/>
    </row>
    <row r="317" spans="1:17" s="39" customFormat="1">
      <c r="A317" s="13">
        <v>313</v>
      </c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1"/>
      <c r="Q317" s="13"/>
    </row>
    <row r="318" spans="1:17" s="39" customFormat="1">
      <c r="A318" s="13">
        <v>314</v>
      </c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1"/>
      <c r="Q318" s="13"/>
    </row>
    <row r="319" spans="1:17" s="39" customFormat="1">
      <c r="A319" s="13">
        <v>315</v>
      </c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1"/>
      <c r="Q319" s="13"/>
    </row>
    <row r="320" spans="1:17" s="39" customFormat="1">
      <c r="A320" s="13">
        <v>316</v>
      </c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1"/>
      <c r="Q320" s="13"/>
    </row>
    <row r="321" spans="1:17" s="39" customFormat="1">
      <c r="A321" s="13">
        <v>317</v>
      </c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1"/>
      <c r="Q321" s="13"/>
    </row>
    <row r="322" spans="1:17" s="39" customFormat="1">
      <c r="A322" s="13">
        <v>318</v>
      </c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1"/>
      <c r="Q322" s="13"/>
    </row>
    <row r="323" spans="1:17" s="39" customFormat="1">
      <c r="A323" s="13">
        <v>319</v>
      </c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1"/>
      <c r="Q323" s="13"/>
    </row>
    <row r="324" spans="1:17" s="39" customFormat="1">
      <c r="A324" s="13">
        <v>320</v>
      </c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1"/>
      <c r="Q324" s="13"/>
    </row>
    <row r="325" spans="1:17" s="39" customFormat="1">
      <c r="A325" s="13">
        <v>321</v>
      </c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1"/>
      <c r="Q325" s="13"/>
    </row>
    <row r="326" spans="1:17" s="39" customFormat="1">
      <c r="A326" s="13">
        <v>322</v>
      </c>
      <c r="B326" s="13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1"/>
      <c r="Q326" s="13"/>
    </row>
    <row r="327" spans="1:17" s="39" customFormat="1">
      <c r="A327" s="13">
        <v>323</v>
      </c>
      <c r="B327" s="13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1"/>
      <c r="Q327" s="13"/>
    </row>
    <row r="328" spans="1:17" s="39" customFormat="1">
      <c r="A328" s="13">
        <v>324</v>
      </c>
      <c r="B328" s="13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1"/>
      <c r="Q328" s="13"/>
    </row>
    <row r="329" spans="1:17" s="39" customFormat="1">
      <c r="A329" s="13">
        <v>325</v>
      </c>
      <c r="B329" s="13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1"/>
      <c r="Q329" s="13"/>
    </row>
    <row r="330" spans="1:17" s="39" customFormat="1">
      <c r="A330" s="13">
        <v>326</v>
      </c>
      <c r="B330" s="13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1"/>
      <c r="Q330" s="13"/>
    </row>
    <row r="331" spans="1:17" s="39" customFormat="1">
      <c r="A331" s="13">
        <v>327</v>
      </c>
      <c r="B331" s="13"/>
      <c r="C331" s="13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1"/>
      <c r="Q331" s="13"/>
    </row>
    <row r="332" spans="1:17" s="39" customFormat="1">
      <c r="A332" s="13">
        <v>328</v>
      </c>
      <c r="B332" s="13"/>
      <c r="C332" s="13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1"/>
      <c r="Q332" s="13"/>
    </row>
    <row r="333" spans="1:17" s="39" customFormat="1">
      <c r="A333" s="13">
        <v>329</v>
      </c>
      <c r="B333" s="13"/>
      <c r="C333" s="13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1"/>
      <c r="Q333" s="13"/>
    </row>
    <row r="334" spans="1:17" s="39" customFormat="1">
      <c r="A334" s="13">
        <v>330</v>
      </c>
      <c r="B334" s="13"/>
      <c r="C334" s="13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1"/>
      <c r="Q334" s="13"/>
    </row>
    <row r="335" spans="1:17" s="39" customFormat="1">
      <c r="A335" s="13">
        <v>331</v>
      </c>
      <c r="B335" s="13"/>
      <c r="C335" s="13"/>
      <c r="D335" s="13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1"/>
      <c r="Q335" s="13"/>
    </row>
    <row r="336" spans="1:17" s="39" customFormat="1">
      <c r="A336" s="13">
        <v>332</v>
      </c>
      <c r="B336" s="13"/>
      <c r="C336" s="13"/>
      <c r="D336" s="13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1"/>
      <c r="Q336" s="13"/>
    </row>
    <row r="337" spans="1:17" s="39" customFormat="1">
      <c r="A337" s="13">
        <v>333</v>
      </c>
      <c r="B337" s="13"/>
      <c r="C337" s="13"/>
      <c r="D337" s="13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1"/>
      <c r="Q337" s="13"/>
    </row>
    <row r="338" spans="1:17" s="39" customFormat="1">
      <c r="A338" s="13">
        <v>334</v>
      </c>
      <c r="B338" s="13"/>
      <c r="C338" s="13"/>
      <c r="D338" s="13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1"/>
      <c r="Q338" s="13"/>
    </row>
    <row r="339" spans="1:17" s="39" customFormat="1">
      <c r="A339" s="13">
        <v>335</v>
      </c>
      <c r="B339" s="13"/>
      <c r="C339" s="13"/>
      <c r="D339" s="13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1"/>
      <c r="Q339" s="13"/>
    </row>
    <row r="340" spans="1:17" s="39" customFormat="1">
      <c r="A340" s="13">
        <v>336</v>
      </c>
      <c r="B340" s="13"/>
      <c r="C340" s="13"/>
      <c r="D340" s="13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1"/>
      <c r="Q340" s="13"/>
    </row>
    <row r="341" spans="1:17">
      <c r="A341" s="13">
        <v>337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3"/>
  <sheetViews>
    <sheetView workbookViewId="0">
      <selection activeCell="E9" sqref="E9"/>
    </sheetView>
  </sheetViews>
  <sheetFormatPr defaultRowHeight="15"/>
  <cols>
    <col min="1" max="1" width="38.140625" customWidth="1"/>
    <col min="2" max="2" width="23.85546875" customWidth="1"/>
    <col min="3" max="4" width="31" customWidth="1"/>
    <col min="5" max="5" width="17" style="110" customWidth="1"/>
    <col min="6" max="6" width="16.42578125" customWidth="1"/>
    <col min="7" max="7" width="18.140625" customWidth="1"/>
    <col min="8" max="8" width="17.5703125" customWidth="1"/>
    <col min="9" max="9" width="14.5703125" customWidth="1"/>
    <col min="10" max="10" width="18.7109375" customWidth="1"/>
    <col min="11" max="11" width="21" customWidth="1"/>
    <col min="12" max="12" width="20" customWidth="1"/>
    <col min="13" max="13" width="15.85546875" customWidth="1"/>
  </cols>
  <sheetData>
    <row r="1" spans="1:13" ht="16.5" thickBot="1">
      <c r="A1" s="222"/>
      <c r="B1" s="223"/>
      <c r="C1" s="2"/>
    </row>
    <row r="2" spans="1:13" s="27" customFormat="1" ht="63.75" thickBot="1">
      <c r="A2" s="25"/>
      <c r="B2" s="26"/>
      <c r="C2" s="109"/>
      <c r="D2" s="3" t="s">
        <v>0</v>
      </c>
      <c r="E2" s="111" t="s">
        <v>174</v>
      </c>
      <c r="F2" s="24" t="s">
        <v>65</v>
      </c>
      <c r="G2" s="24" t="s">
        <v>66</v>
      </c>
      <c r="H2" s="24" t="s">
        <v>67</v>
      </c>
      <c r="I2" s="24" t="s">
        <v>68</v>
      </c>
      <c r="J2" s="24" t="s">
        <v>69</v>
      </c>
      <c r="K2" s="24" t="s">
        <v>70</v>
      </c>
      <c r="L2" s="24" t="s">
        <v>357</v>
      </c>
      <c r="M2" s="24" t="s">
        <v>231</v>
      </c>
    </row>
    <row r="3" spans="1:13" ht="15.75">
      <c r="A3" s="213" t="s">
        <v>109</v>
      </c>
      <c r="B3" s="199"/>
      <c r="C3" s="3" t="s">
        <v>205</v>
      </c>
      <c r="D3" s="4">
        <v>480</v>
      </c>
      <c r="E3" s="110">
        <v>94791000</v>
      </c>
      <c r="F3" s="110">
        <v>6245000</v>
      </c>
      <c r="G3" s="110"/>
      <c r="H3" s="114">
        <f>SUM(E3:G3)</f>
        <v>101036000</v>
      </c>
      <c r="I3" s="110">
        <f>-51873000-F3-I4</f>
        <v>-29903587</v>
      </c>
      <c r="J3" s="110">
        <f>-J12</f>
        <v>-597</v>
      </c>
      <c r="K3" s="114">
        <f>SUM(H3:J3)</f>
        <v>71131816</v>
      </c>
      <c r="L3" s="110">
        <v>10003000</v>
      </c>
      <c r="M3" s="114">
        <f>SUM(K3:L3)</f>
        <v>81134816</v>
      </c>
    </row>
    <row r="4" spans="1:13" ht="15.75">
      <c r="A4" s="214"/>
      <c r="B4" s="200"/>
      <c r="C4" s="5" t="s">
        <v>206</v>
      </c>
      <c r="D4" s="6">
        <v>481</v>
      </c>
      <c r="E4" s="110">
        <v>45609000</v>
      </c>
      <c r="F4" s="110">
        <v>225000</v>
      </c>
      <c r="G4" s="110"/>
      <c r="H4" s="114">
        <f t="shared" ref="H4:H14" si="0">SUM(E4:G4)</f>
        <v>45834000</v>
      </c>
      <c r="I4" s="110">
        <v>-28214413</v>
      </c>
      <c r="J4" s="110"/>
      <c r="K4" s="114">
        <f t="shared" ref="K4:K14" si="1">SUM(H4:J4)</f>
        <v>17619587</v>
      </c>
      <c r="L4" s="110">
        <f>2449000+28000</f>
        <v>2477000</v>
      </c>
      <c r="M4" s="114">
        <f t="shared" ref="M4:M14" si="2">SUM(K4:L4)</f>
        <v>20096587</v>
      </c>
    </row>
    <row r="5" spans="1:13" ht="15.75">
      <c r="A5" s="214"/>
      <c r="B5" s="200"/>
      <c r="C5" s="5" t="s">
        <v>207</v>
      </c>
      <c r="D5" s="6">
        <v>482</v>
      </c>
      <c r="E5" s="110">
        <v>0</v>
      </c>
      <c r="F5" s="110"/>
      <c r="G5" s="110"/>
      <c r="H5" s="114">
        <f>SUM(E5:G5)</f>
        <v>0</v>
      </c>
      <c r="I5" s="110"/>
      <c r="J5" s="110"/>
      <c r="K5" s="114">
        <f>SUM(H5:J5)</f>
        <v>0</v>
      </c>
      <c r="M5" s="114">
        <f t="shared" si="2"/>
        <v>0</v>
      </c>
    </row>
    <row r="6" spans="1:13" ht="15.75">
      <c r="A6" s="214"/>
      <c r="B6" s="200"/>
      <c r="C6" s="5" t="s">
        <v>208</v>
      </c>
      <c r="D6" s="7">
        <v>483</v>
      </c>
      <c r="E6" s="110">
        <v>53968000</v>
      </c>
      <c r="F6" s="110">
        <v>-53968000</v>
      </c>
      <c r="G6" s="110"/>
      <c r="H6" s="114">
        <f t="shared" si="0"/>
        <v>0</v>
      </c>
      <c r="I6" s="110">
        <f>-53968000-F6</f>
        <v>0</v>
      </c>
      <c r="J6" s="110"/>
      <c r="K6" s="114">
        <f t="shared" si="1"/>
        <v>0</v>
      </c>
      <c r="M6" s="114">
        <f t="shared" si="2"/>
        <v>0</v>
      </c>
    </row>
    <row r="7" spans="1:13" ht="15.75">
      <c r="A7" s="214"/>
      <c r="B7" s="200"/>
      <c r="C7" s="5" t="s">
        <v>209</v>
      </c>
      <c r="D7" s="7">
        <v>484</v>
      </c>
      <c r="E7" s="110">
        <v>225000</v>
      </c>
      <c r="F7" s="110">
        <v>-225000</v>
      </c>
      <c r="G7" s="110"/>
      <c r="H7" s="114">
        <f t="shared" si="0"/>
        <v>0</v>
      </c>
      <c r="I7" s="110"/>
      <c r="J7" s="110"/>
      <c r="K7" s="114">
        <f t="shared" si="1"/>
        <v>0</v>
      </c>
      <c r="M7" s="114">
        <f t="shared" si="2"/>
        <v>0</v>
      </c>
    </row>
    <row r="8" spans="1:13" ht="15.75">
      <c r="A8" s="214"/>
      <c r="B8" s="200"/>
      <c r="C8" s="5" t="s">
        <v>110</v>
      </c>
      <c r="D8" s="7">
        <v>485</v>
      </c>
      <c r="F8" s="110"/>
      <c r="G8" s="110"/>
      <c r="H8" s="114">
        <f t="shared" si="0"/>
        <v>0</v>
      </c>
      <c r="I8" s="110"/>
      <c r="J8" s="110"/>
      <c r="K8" s="114">
        <f t="shared" si="1"/>
        <v>0</v>
      </c>
      <c r="M8" s="114">
        <f t="shared" si="2"/>
        <v>0</v>
      </c>
    </row>
    <row r="9" spans="1:13" ht="15.75">
      <c r="A9" s="214"/>
      <c r="B9" s="200"/>
      <c r="C9" s="216" t="s">
        <v>111</v>
      </c>
      <c r="D9" s="217"/>
      <c r="E9" s="112">
        <f>SUM(E3:E8)</f>
        <v>194593000</v>
      </c>
      <c r="F9" s="112">
        <f t="shared" ref="F9:M9" si="3">SUM(F3:F8)</f>
        <v>-47723000</v>
      </c>
      <c r="G9" s="112">
        <f t="shared" si="3"/>
        <v>0</v>
      </c>
      <c r="H9" s="112">
        <f t="shared" si="3"/>
        <v>146870000</v>
      </c>
      <c r="I9" s="112">
        <f t="shared" si="3"/>
        <v>-58118000</v>
      </c>
      <c r="J9" s="112">
        <f t="shared" si="3"/>
        <v>-597</v>
      </c>
      <c r="K9" s="112">
        <f t="shared" si="3"/>
        <v>88751403</v>
      </c>
      <c r="L9" s="112">
        <f t="shared" si="3"/>
        <v>12480000</v>
      </c>
      <c r="M9" s="112">
        <f t="shared" si="3"/>
        <v>101231403</v>
      </c>
    </row>
    <row r="10" spans="1:13" ht="15.75">
      <c r="A10" s="214"/>
      <c r="B10" s="200"/>
      <c r="C10" s="8" t="s">
        <v>2</v>
      </c>
      <c r="D10" s="7">
        <v>496</v>
      </c>
      <c r="E10" s="110">
        <v>-2987000</v>
      </c>
      <c r="F10" s="110"/>
      <c r="G10" s="110"/>
      <c r="H10" s="114">
        <f t="shared" si="0"/>
        <v>-2987000</v>
      </c>
      <c r="I10" s="110">
        <f>2987000-F10</f>
        <v>2987000</v>
      </c>
      <c r="J10" s="110"/>
      <c r="K10" s="114">
        <f t="shared" si="1"/>
        <v>0</v>
      </c>
      <c r="M10" s="114">
        <f t="shared" si="2"/>
        <v>0</v>
      </c>
    </row>
    <row r="11" spans="1:13" ht="15.75">
      <c r="A11" s="214"/>
      <c r="B11" s="200"/>
      <c r="C11" s="218" t="s">
        <v>3</v>
      </c>
      <c r="D11" s="219"/>
      <c r="E11" s="112">
        <f>SUM(E9:E10)</f>
        <v>191606000</v>
      </c>
      <c r="F11" s="112">
        <f t="shared" ref="F11:M11" si="4">SUM(F9:F10)</f>
        <v>-47723000</v>
      </c>
      <c r="G11" s="112">
        <f t="shared" si="4"/>
        <v>0</v>
      </c>
      <c r="H11" s="112">
        <f t="shared" si="4"/>
        <v>143883000</v>
      </c>
      <c r="I11" s="112">
        <f t="shared" si="4"/>
        <v>-55131000</v>
      </c>
      <c r="J11" s="112">
        <f t="shared" si="4"/>
        <v>-597</v>
      </c>
      <c r="K11" s="112">
        <f t="shared" si="4"/>
        <v>88751403</v>
      </c>
      <c r="L11" s="112">
        <f t="shared" si="4"/>
        <v>12480000</v>
      </c>
      <c r="M11" s="112">
        <f t="shared" si="4"/>
        <v>101231403</v>
      </c>
    </row>
    <row r="12" spans="1:13" ht="31.5">
      <c r="A12" s="214"/>
      <c r="B12" s="200"/>
      <c r="C12" s="9" t="s">
        <v>112</v>
      </c>
      <c r="D12" s="10" t="s">
        <v>113</v>
      </c>
      <c r="E12" s="110">
        <v>5088000</v>
      </c>
      <c r="F12" s="110">
        <v>-128000</v>
      </c>
      <c r="G12" s="110"/>
      <c r="H12" s="114">
        <f t="shared" si="0"/>
        <v>4960000</v>
      </c>
      <c r="I12" s="110">
        <f>-1853000-F12</f>
        <v>-1725000</v>
      </c>
      <c r="J12" s="110">
        <v>597</v>
      </c>
      <c r="K12" s="114">
        <f t="shared" si="1"/>
        <v>3235597</v>
      </c>
      <c r="L12" s="110">
        <v>455000</v>
      </c>
      <c r="M12" s="114">
        <f t="shared" si="2"/>
        <v>3690597</v>
      </c>
    </row>
    <row r="13" spans="1:13" ht="31.5">
      <c r="A13" s="214"/>
      <c r="B13" s="200"/>
      <c r="C13" s="9" t="s">
        <v>114</v>
      </c>
      <c r="D13" s="10">
        <v>489.4</v>
      </c>
      <c r="F13" s="110"/>
      <c r="G13" s="110"/>
      <c r="H13" s="114">
        <f t="shared" si="0"/>
        <v>0</v>
      </c>
      <c r="I13" s="110"/>
      <c r="J13" s="110"/>
      <c r="K13" s="114">
        <f t="shared" si="1"/>
        <v>0</v>
      </c>
      <c r="M13" s="114">
        <f t="shared" si="2"/>
        <v>0</v>
      </c>
    </row>
    <row r="14" spans="1:13" ht="31.5">
      <c r="A14" s="214"/>
      <c r="B14" s="200"/>
      <c r="C14" s="9" t="s">
        <v>232</v>
      </c>
      <c r="D14" s="10" t="s">
        <v>115</v>
      </c>
      <c r="E14" s="110">
        <v>-300000</v>
      </c>
      <c r="F14" s="110">
        <f>-1043000+114000</f>
        <v>-929000</v>
      </c>
      <c r="G14" s="110"/>
      <c r="H14" s="114">
        <f t="shared" si="0"/>
        <v>-1229000</v>
      </c>
      <c r="I14" s="110">
        <f>-2987000+5226000+114000-F14</f>
        <v>3282000</v>
      </c>
      <c r="J14" s="110"/>
      <c r="K14" s="114">
        <f t="shared" si="1"/>
        <v>2053000</v>
      </c>
      <c r="M14" s="114">
        <f t="shared" si="2"/>
        <v>2053000</v>
      </c>
    </row>
    <row r="15" spans="1:13" ht="15.75">
      <c r="A15" s="215"/>
      <c r="B15" s="201"/>
      <c r="C15" s="218" t="s">
        <v>233</v>
      </c>
      <c r="D15" s="219"/>
      <c r="E15" s="112">
        <f>SUM(E12:E14)</f>
        <v>4788000</v>
      </c>
      <c r="F15" s="112">
        <f t="shared" ref="F15:M15" si="5">SUM(F12:F14)</f>
        <v>-1057000</v>
      </c>
      <c r="G15" s="112">
        <f t="shared" si="5"/>
        <v>0</v>
      </c>
      <c r="H15" s="112">
        <f t="shared" si="5"/>
        <v>3731000</v>
      </c>
      <c r="I15" s="112">
        <f t="shared" si="5"/>
        <v>1557000</v>
      </c>
      <c r="J15" s="112">
        <f t="shared" si="5"/>
        <v>597</v>
      </c>
      <c r="K15" s="112">
        <f t="shared" si="5"/>
        <v>5288597</v>
      </c>
      <c r="L15" s="112">
        <f t="shared" si="5"/>
        <v>455000</v>
      </c>
      <c r="M15" s="112">
        <f t="shared" si="5"/>
        <v>5743597</v>
      </c>
    </row>
    <row r="16" spans="1:13" ht="15.75">
      <c r="A16" s="220" t="s">
        <v>109</v>
      </c>
      <c r="B16" s="220"/>
      <c r="C16" s="220"/>
      <c r="D16" s="221"/>
      <c r="E16" s="113">
        <f>E11+E15</f>
        <v>196394000</v>
      </c>
      <c r="F16" s="113">
        <f t="shared" ref="F16:M16" si="6">F11+F15</f>
        <v>-48780000</v>
      </c>
      <c r="G16" s="113">
        <f t="shared" si="6"/>
        <v>0</v>
      </c>
      <c r="H16" s="113">
        <f t="shared" si="6"/>
        <v>147614000</v>
      </c>
      <c r="I16" s="113">
        <f t="shared" si="6"/>
        <v>-53574000</v>
      </c>
      <c r="J16" s="113">
        <f t="shared" si="6"/>
        <v>0</v>
      </c>
      <c r="K16" s="113">
        <f t="shared" si="6"/>
        <v>94040000</v>
      </c>
      <c r="L16" s="113">
        <f t="shared" si="6"/>
        <v>12935000</v>
      </c>
      <c r="M16" s="113">
        <f t="shared" si="6"/>
        <v>106975000</v>
      </c>
    </row>
    <row r="17" spans="1:13" ht="31.5">
      <c r="A17" s="161" t="s">
        <v>116</v>
      </c>
      <c r="B17" s="224" t="s">
        <v>117</v>
      </c>
      <c r="C17" s="11" t="s">
        <v>118</v>
      </c>
      <c r="D17" s="12">
        <v>710</v>
      </c>
      <c r="E17" s="110">
        <v>0</v>
      </c>
      <c r="H17" s="114">
        <f t="shared" ref="H17:H41" si="7">SUM(E17:G17)</f>
        <v>0</v>
      </c>
      <c r="K17" s="114">
        <f t="shared" ref="K17:K21" si="8">SUM(H17:J17)</f>
        <v>0</v>
      </c>
      <c r="M17" s="114">
        <f t="shared" ref="M17:M41" si="9">SUM(K17:L17)</f>
        <v>0</v>
      </c>
    </row>
    <row r="18" spans="1:13" ht="31.5">
      <c r="A18" s="162"/>
      <c r="B18" s="225"/>
      <c r="C18" s="11" t="s">
        <v>119</v>
      </c>
      <c r="D18" s="12" t="s">
        <v>120</v>
      </c>
      <c r="E18" s="110">
        <v>0</v>
      </c>
      <c r="H18" s="114">
        <f t="shared" si="7"/>
        <v>0</v>
      </c>
      <c r="K18" s="114">
        <f t="shared" si="8"/>
        <v>0</v>
      </c>
      <c r="M18" s="114">
        <f t="shared" si="9"/>
        <v>0</v>
      </c>
    </row>
    <row r="19" spans="1:13" ht="31.5">
      <c r="A19" s="162"/>
      <c r="B19" s="225"/>
      <c r="C19" s="11" t="s">
        <v>121</v>
      </c>
      <c r="D19" s="12" t="s">
        <v>122</v>
      </c>
      <c r="E19" s="110">
        <v>0</v>
      </c>
      <c r="H19" s="114">
        <f t="shared" si="7"/>
        <v>0</v>
      </c>
      <c r="K19" s="114">
        <f t="shared" si="8"/>
        <v>0</v>
      </c>
      <c r="M19" s="114">
        <f t="shared" si="9"/>
        <v>0</v>
      </c>
    </row>
    <row r="20" spans="1:13" ht="47.25">
      <c r="A20" s="162"/>
      <c r="B20" s="225"/>
      <c r="C20" s="11" t="s">
        <v>123</v>
      </c>
      <c r="D20" s="12" t="s">
        <v>124</v>
      </c>
      <c r="E20" s="110">
        <v>0</v>
      </c>
      <c r="H20" s="114">
        <f t="shared" si="7"/>
        <v>0</v>
      </c>
      <c r="K20" s="114">
        <f t="shared" si="8"/>
        <v>0</v>
      </c>
      <c r="M20" s="114">
        <f t="shared" si="9"/>
        <v>0</v>
      </c>
    </row>
    <row r="21" spans="1:13" ht="31.5">
      <c r="A21" s="162"/>
      <c r="B21" s="225"/>
      <c r="C21" s="11" t="s">
        <v>125</v>
      </c>
      <c r="D21" s="12" t="s">
        <v>126</v>
      </c>
      <c r="E21" s="110">
        <v>0</v>
      </c>
      <c r="H21" s="114">
        <f t="shared" si="7"/>
        <v>0</v>
      </c>
      <c r="K21" s="114">
        <f t="shared" si="8"/>
        <v>0</v>
      </c>
      <c r="M21" s="114">
        <f t="shared" si="9"/>
        <v>0</v>
      </c>
    </row>
    <row r="22" spans="1:13" ht="15.75">
      <c r="A22" s="162"/>
      <c r="B22" s="226"/>
      <c r="C22" s="216" t="s">
        <v>127</v>
      </c>
      <c r="D22" s="217"/>
      <c r="E22" s="112">
        <f>SUM(E17:E21)</f>
        <v>0</v>
      </c>
      <c r="F22" s="112">
        <f t="shared" ref="F22:M22" si="10">SUM(F17:F21)</f>
        <v>0</v>
      </c>
      <c r="G22" s="112">
        <f t="shared" si="10"/>
        <v>0</v>
      </c>
      <c r="H22" s="112">
        <f t="shared" si="10"/>
        <v>0</v>
      </c>
      <c r="I22" s="112">
        <f t="shared" si="10"/>
        <v>0</v>
      </c>
      <c r="J22" s="112">
        <f t="shared" si="10"/>
        <v>0</v>
      </c>
      <c r="K22" s="112">
        <f t="shared" si="10"/>
        <v>0</v>
      </c>
      <c r="L22" s="112">
        <f t="shared" si="10"/>
        <v>0</v>
      </c>
      <c r="M22" s="112">
        <f t="shared" si="10"/>
        <v>0</v>
      </c>
    </row>
    <row r="23" spans="1:13" ht="15.75">
      <c r="A23" s="162"/>
      <c r="B23" s="227" t="s">
        <v>128</v>
      </c>
      <c r="C23" s="95" t="s">
        <v>234</v>
      </c>
      <c r="D23" s="12">
        <v>800</v>
      </c>
      <c r="E23" s="110">
        <v>0</v>
      </c>
      <c r="H23" s="114">
        <f t="shared" si="7"/>
        <v>0</v>
      </c>
      <c r="K23" s="114">
        <f t="shared" ref="K23:K41" si="11">SUM(H23:J23)</f>
        <v>0</v>
      </c>
      <c r="M23" s="114">
        <f t="shared" si="9"/>
        <v>0</v>
      </c>
    </row>
    <row r="24" spans="1:13" ht="31.5">
      <c r="A24" s="162"/>
      <c r="B24" s="227"/>
      <c r="C24" s="11" t="s">
        <v>235</v>
      </c>
      <c r="D24" s="15">
        <v>800.1</v>
      </c>
      <c r="E24" s="110">
        <v>0</v>
      </c>
      <c r="F24" s="114"/>
      <c r="G24" s="114"/>
      <c r="H24" s="114">
        <f t="shared" si="7"/>
        <v>0</v>
      </c>
      <c r="I24" s="114"/>
      <c r="J24" s="114"/>
      <c r="K24" s="114">
        <f t="shared" si="11"/>
        <v>0</v>
      </c>
      <c r="L24" s="114"/>
      <c r="M24" s="114">
        <f t="shared" si="9"/>
        <v>0</v>
      </c>
    </row>
    <row r="25" spans="1:13" ht="15.75">
      <c r="A25" s="162"/>
      <c r="B25" s="227"/>
      <c r="C25" s="11" t="s">
        <v>236</v>
      </c>
      <c r="D25" s="12">
        <v>801</v>
      </c>
      <c r="E25" s="110">
        <v>0</v>
      </c>
      <c r="F25" s="114"/>
      <c r="G25" s="114"/>
      <c r="H25" s="114">
        <f t="shared" si="7"/>
        <v>0</v>
      </c>
      <c r="I25" s="114"/>
      <c r="J25" s="114"/>
      <c r="K25" s="114">
        <f t="shared" si="11"/>
        <v>0</v>
      </c>
      <c r="L25" s="114"/>
      <c r="M25" s="114">
        <f t="shared" si="9"/>
        <v>0</v>
      </c>
    </row>
    <row r="26" spans="1:13" ht="31.5">
      <c r="A26" s="162"/>
      <c r="B26" s="227"/>
      <c r="C26" s="11" t="s">
        <v>237</v>
      </c>
      <c r="D26" s="12">
        <v>802</v>
      </c>
      <c r="E26" s="110">
        <v>0</v>
      </c>
      <c r="F26" s="114"/>
      <c r="G26" s="114"/>
      <c r="H26" s="114">
        <f t="shared" si="7"/>
        <v>0</v>
      </c>
      <c r="I26" s="114"/>
      <c r="J26" s="114"/>
      <c r="K26" s="114">
        <f t="shared" si="11"/>
        <v>0</v>
      </c>
      <c r="L26" s="114"/>
      <c r="M26" s="114">
        <f t="shared" si="9"/>
        <v>0</v>
      </c>
    </row>
    <row r="27" spans="1:13" ht="31.5">
      <c r="A27" s="162"/>
      <c r="B27" s="227"/>
      <c r="C27" s="11" t="s">
        <v>238</v>
      </c>
      <c r="D27" s="12">
        <v>803</v>
      </c>
      <c r="E27" s="110">
        <v>0</v>
      </c>
      <c r="F27" s="114"/>
      <c r="G27" s="114"/>
      <c r="H27" s="114">
        <f t="shared" si="7"/>
        <v>0</v>
      </c>
      <c r="I27" s="114"/>
      <c r="J27" s="114"/>
      <c r="K27" s="114">
        <f t="shared" si="11"/>
        <v>0</v>
      </c>
      <c r="L27" s="114"/>
      <c r="M27" s="114">
        <f t="shared" si="9"/>
        <v>0</v>
      </c>
    </row>
    <row r="28" spans="1:13" ht="15.75">
      <c r="A28" s="162"/>
      <c r="B28" s="227"/>
      <c r="C28" s="11" t="s">
        <v>239</v>
      </c>
      <c r="D28" s="12">
        <v>804</v>
      </c>
      <c r="E28" s="110">
        <f>90669000-963000</f>
        <v>89706000</v>
      </c>
      <c r="F28" s="114">
        <f>2651000-41801000+963000</f>
        <v>-38187000</v>
      </c>
      <c r="G28" s="114"/>
      <c r="H28" s="114">
        <f t="shared" si="7"/>
        <v>51519000</v>
      </c>
      <c r="I28" s="114">
        <v>-51519000</v>
      </c>
      <c r="J28" s="114"/>
      <c r="K28" s="114">
        <f t="shared" si="11"/>
        <v>0</v>
      </c>
      <c r="L28" s="114"/>
      <c r="M28" s="114">
        <f t="shared" si="9"/>
        <v>0</v>
      </c>
    </row>
    <row r="29" spans="1:13" ht="15.75">
      <c r="A29" s="162"/>
      <c r="B29" s="227"/>
      <c r="C29" s="11" t="s">
        <v>240</v>
      </c>
      <c r="D29" s="15">
        <v>804.1</v>
      </c>
      <c r="E29" s="110">
        <v>0</v>
      </c>
      <c r="F29" s="114"/>
      <c r="G29" s="114"/>
      <c r="H29" s="114">
        <f t="shared" si="7"/>
        <v>0</v>
      </c>
      <c r="I29" s="114"/>
      <c r="J29" s="114"/>
      <c r="K29" s="114">
        <f t="shared" si="11"/>
        <v>0</v>
      </c>
      <c r="L29" s="114"/>
      <c r="M29" s="114">
        <f t="shared" si="9"/>
        <v>0</v>
      </c>
    </row>
    <row r="30" spans="1:13" ht="15.75">
      <c r="A30" s="162"/>
      <c r="B30" s="227"/>
      <c r="C30" s="11" t="s">
        <v>241</v>
      </c>
      <c r="D30" s="12">
        <v>805</v>
      </c>
      <c r="E30" s="110">
        <v>0</v>
      </c>
      <c r="F30" s="114"/>
      <c r="G30" s="114"/>
      <c r="H30" s="114">
        <f t="shared" si="7"/>
        <v>0</v>
      </c>
      <c r="I30" s="114"/>
      <c r="J30" s="114"/>
      <c r="K30" s="114">
        <f t="shared" si="11"/>
        <v>0</v>
      </c>
      <c r="L30" s="114"/>
      <c r="M30" s="114">
        <f t="shared" si="9"/>
        <v>0</v>
      </c>
    </row>
    <row r="31" spans="1:13" ht="15.75">
      <c r="A31" s="162"/>
      <c r="B31" s="227"/>
      <c r="C31" s="11" t="s">
        <v>242</v>
      </c>
      <c r="D31" s="15">
        <v>805.1</v>
      </c>
      <c r="E31" s="110">
        <v>963000</v>
      </c>
      <c r="F31" s="114">
        <f>-E31</f>
        <v>-963000</v>
      </c>
      <c r="G31" s="114"/>
      <c r="H31" s="114">
        <f t="shared" si="7"/>
        <v>0</v>
      </c>
      <c r="I31" s="114"/>
      <c r="J31" s="114"/>
      <c r="K31" s="114">
        <f t="shared" si="11"/>
        <v>0</v>
      </c>
      <c r="L31" s="114"/>
      <c r="M31" s="114">
        <f t="shared" si="9"/>
        <v>0</v>
      </c>
    </row>
    <row r="32" spans="1:13" ht="15.75">
      <c r="A32" s="162"/>
      <c r="B32" s="227"/>
      <c r="C32" s="11" t="s">
        <v>243</v>
      </c>
      <c r="D32" s="12">
        <v>806</v>
      </c>
      <c r="E32" s="110">
        <v>0</v>
      </c>
      <c r="F32" s="114"/>
      <c r="G32" s="114"/>
      <c r="H32" s="114">
        <f t="shared" si="7"/>
        <v>0</v>
      </c>
      <c r="I32" s="114"/>
      <c r="J32" s="114"/>
      <c r="K32" s="114">
        <f t="shared" si="11"/>
        <v>0</v>
      </c>
      <c r="L32" s="114"/>
      <c r="M32" s="114">
        <f t="shared" si="9"/>
        <v>0</v>
      </c>
    </row>
    <row r="33" spans="1:13" ht="15.75">
      <c r="A33" s="162"/>
      <c r="B33" s="227"/>
      <c r="C33" s="11" t="s">
        <v>244</v>
      </c>
      <c r="D33" s="12">
        <v>807</v>
      </c>
      <c r="E33" s="110">
        <v>0</v>
      </c>
      <c r="F33" s="114"/>
      <c r="G33" s="114"/>
      <c r="H33" s="114">
        <f t="shared" si="7"/>
        <v>0</v>
      </c>
      <c r="I33" s="114"/>
      <c r="J33" s="114"/>
      <c r="K33" s="114">
        <f t="shared" si="11"/>
        <v>0</v>
      </c>
      <c r="L33" s="114"/>
      <c r="M33" s="114">
        <f t="shared" si="9"/>
        <v>0</v>
      </c>
    </row>
    <row r="34" spans="1:13" ht="31.5">
      <c r="A34" s="162"/>
      <c r="B34" s="227"/>
      <c r="C34" s="11" t="s">
        <v>245</v>
      </c>
      <c r="D34" s="15">
        <v>808.1</v>
      </c>
      <c r="E34" s="110">
        <v>376000</v>
      </c>
      <c r="F34" s="114">
        <f>-E34</f>
        <v>-376000</v>
      </c>
      <c r="G34" s="114"/>
      <c r="H34" s="114">
        <f t="shared" si="7"/>
        <v>0</v>
      </c>
      <c r="I34" s="114"/>
      <c r="J34" s="114"/>
      <c r="K34" s="114">
        <f t="shared" si="11"/>
        <v>0</v>
      </c>
      <c r="L34" s="114"/>
      <c r="M34" s="114">
        <f t="shared" si="9"/>
        <v>0</v>
      </c>
    </row>
    <row r="35" spans="1:13" ht="15.75">
      <c r="A35" s="162"/>
      <c r="B35" s="227"/>
      <c r="C35" s="11" t="s">
        <v>246</v>
      </c>
      <c r="D35" s="15">
        <v>808.2</v>
      </c>
      <c r="E35" s="110">
        <v>0</v>
      </c>
      <c r="F35" s="114"/>
      <c r="G35" s="114"/>
      <c r="H35" s="114">
        <f t="shared" si="7"/>
        <v>0</v>
      </c>
      <c r="I35" s="114"/>
      <c r="J35" s="114"/>
      <c r="K35" s="114">
        <f t="shared" si="11"/>
        <v>0</v>
      </c>
      <c r="L35" s="114"/>
      <c r="M35" s="114">
        <f t="shared" si="9"/>
        <v>0</v>
      </c>
    </row>
    <row r="36" spans="1:13" ht="31.5">
      <c r="A36" s="162"/>
      <c r="B36" s="227"/>
      <c r="C36" s="11" t="s">
        <v>247</v>
      </c>
      <c r="D36" s="15">
        <v>809.1</v>
      </c>
      <c r="E36" s="110">
        <v>0</v>
      </c>
      <c r="F36" s="114"/>
      <c r="G36" s="114"/>
      <c r="H36" s="114">
        <f t="shared" si="7"/>
        <v>0</v>
      </c>
      <c r="I36" s="114"/>
      <c r="J36" s="114"/>
      <c r="K36" s="114">
        <f t="shared" si="11"/>
        <v>0</v>
      </c>
      <c r="L36" s="114"/>
      <c r="M36" s="114">
        <f t="shared" si="9"/>
        <v>0</v>
      </c>
    </row>
    <row r="37" spans="1:13" ht="31.5">
      <c r="A37" s="162"/>
      <c r="B37" s="227"/>
      <c r="C37" s="11" t="s">
        <v>248</v>
      </c>
      <c r="D37" s="15">
        <v>809.2</v>
      </c>
      <c r="E37" s="110">
        <v>0</v>
      </c>
      <c r="F37" s="114"/>
      <c r="G37" s="114"/>
      <c r="H37" s="114">
        <f t="shared" si="7"/>
        <v>0</v>
      </c>
      <c r="I37" s="114"/>
      <c r="J37" s="114"/>
      <c r="K37" s="114">
        <f t="shared" si="11"/>
        <v>0</v>
      </c>
      <c r="L37" s="114"/>
      <c r="M37" s="114">
        <f t="shared" si="9"/>
        <v>0</v>
      </c>
    </row>
    <row r="38" spans="1:13" ht="31.5">
      <c r="A38" s="162"/>
      <c r="B38" s="227"/>
      <c r="C38" s="11" t="s">
        <v>249</v>
      </c>
      <c r="D38" s="12">
        <v>810</v>
      </c>
      <c r="E38" s="110">
        <v>0</v>
      </c>
      <c r="F38" s="114"/>
      <c r="G38" s="114"/>
      <c r="H38" s="114">
        <f t="shared" si="7"/>
        <v>0</v>
      </c>
      <c r="I38" s="114"/>
      <c r="J38" s="114"/>
      <c r="K38" s="114">
        <f t="shared" si="11"/>
        <v>0</v>
      </c>
      <c r="L38" s="114"/>
      <c r="M38" s="114">
        <f t="shared" si="9"/>
        <v>0</v>
      </c>
    </row>
    <row r="39" spans="1:13" ht="31.5">
      <c r="A39" s="162"/>
      <c r="B39" s="227"/>
      <c r="C39" s="11" t="s">
        <v>250</v>
      </c>
      <c r="D39" s="12">
        <v>811</v>
      </c>
      <c r="E39" s="110">
        <v>-668000</v>
      </c>
      <c r="F39" s="114">
        <f>-E39</f>
        <v>668000</v>
      </c>
      <c r="G39" s="114"/>
      <c r="H39" s="114">
        <f t="shared" si="7"/>
        <v>0</v>
      </c>
      <c r="I39" s="114"/>
      <c r="J39" s="114"/>
      <c r="K39" s="114">
        <f t="shared" si="11"/>
        <v>0</v>
      </c>
      <c r="L39" s="114"/>
      <c r="M39" s="114">
        <f t="shared" si="9"/>
        <v>0</v>
      </c>
    </row>
    <row r="40" spans="1:13" ht="31.5">
      <c r="A40" s="162"/>
      <c r="B40" s="227"/>
      <c r="C40" s="11" t="s">
        <v>251</v>
      </c>
      <c r="D40" s="12">
        <v>812</v>
      </c>
      <c r="E40" s="110">
        <v>0</v>
      </c>
      <c r="F40" s="114"/>
      <c r="G40" s="114"/>
      <c r="H40" s="114">
        <f t="shared" si="7"/>
        <v>0</v>
      </c>
      <c r="I40" s="114"/>
      <c r="J40" s="114"/>
      <c r="K40" s="114">
        <f t="shared" si="11"/>
        <v>0</v>
      </c>
      <c r="L40" s="114"/>
      <c r="M40" s="114">
        <f t="shared" si="9"/>
        <v>0</v>
      </c>
    </row>
    <row r="41" spans="1:13" ht="15.75">
      <c r="A41" s="162"/>
      <c r="B41" s="227"/>
      <c r="C41" s="11" t="s">
        <v>128</v>
      </c>
      <c r="D41" s="12">
        <v>813</v>
      </c>
      <c r="E41" s="110">
        <f>876000+79000</f>
        <v>955000</v>
      </c>
      <c r="F41" s="114">
        <v>4000</v>
      </c>
      <c r="G41" s="114"/>
      <c r="H41" s="114">
        <f t="shared" si="7"/>
        <v>959000</v>
      </c>
      <c r="I41" s="114">
        <f>16000+24000</f>
        <v>40000</v>
      </c>
      <c r="J41" s="114"/>
      <c r="K41" s="114">
        <f t="shared" si="11"/>
        <v>999000</v>
      </c>
      <c r="L41" s="114"/>
      <c r="M41" s="114">
        <f t="shared" si="9"/>
        <v>999000</v>
      </c>
    </row>
    <row r="42" spans="1:13" ht="15.75">
      <c r="A42" s="162"/>
      <c r="B42" s="227"/>
      <c r="C42" s="216" t="s">
        <v>129</v>
      </c>
      <c r="D42" s="217"/>
      <c r="E42" s="112">
        <f>SUM(E23:E41)</f>
        <v>91332000</v>
      </c>
      <c r="F42" s="112">
        <f t="shared" ref="F42:M42" si="12">SUM(F23:F41)</f>
        <v>-38854000</v>
      </c>
      <c r="G42" s="112">
        <f t="shared" si="12"/>
        <v>0</v>
      </c>
      <c r="H42" s="112">
        <f t="shared" si="12"/>
        <v>52478000</v>
      </c>
      <c r="I42" s="112">
        <f t="shared" si="12"/>
        <v>-51479000</v>
      </c>
      <c r="J42" s="112">
        <f t="shared" si="12"/>
        <v>0</v>
      </c>
      <c r="K42" s="112">
        <f t="shared" si="12"/>
        <v>999000</v>
      </c>
      <c r="L42" s="112">
        <f t="shared" si="12"/>
        <v>0</v>
      </c>
      <c r="M42" s="112">
        <f t="shared" si="12"/>
        <v>999000</v>
      </c>
    </row>
    <row r="43" spans="1:13" ht="15.75">
      <c r="A43" s="163"/>
      <c r="B43" s="228" t="s">
        <v>116</v>
      </c>
      <c r="C43" s="229"/>
      <c r="D43" s="230"/>
      <c r="E43" s="115">
        <f>E22+E42</f>
        <v>91332000</v>
      </c>
      <c r="F43" s="115">
        <f t="shared" ref="F43:M43" si="13">F22+F42</f>
        <v>-38854000</v>
      </c>
      <c r="G43" s="115">
        <f t="shared" si="13"/>
        <v>0</v>
      </c>
      <c r="H43" s="115">
        <f t="shared" si="13"/>
        <v>52478000</v>
      </c>
      <c r="I43" s="115">
        <f t="shared" si="13"/>
        <v>-51479000</v>
      </c>
      <c r="J43" s="115">
        <f t="shared" si="13"/>
        <v>0</v>
      </c>
      <c r="K43" s="115">
        <f t="shared" si="13"/>
        <v>999000</v>
      </c>
      <c r="L43" s="115">
        <f t="shared" si="13"/>
        <v>0</v>
      </c>
      <c r="M43" s="115">
        <f t="shared" si="13"/>
        <v>999000</v>
      </c>
    </row>
    <row r="44" spans="1:13" ht="31.5">
      <c r="A44" s="199" t="s">
        <v>352</v>
      </c>
      <c r="B44" s="226" t="s">
        <v>130</v>
      </c>
      <c r="C44" s="96" t="s">
        <v>252</v>
      </c>
      <c r="D44" s="97">
        <v>814</v>
      </c>
      <c r="E44" s="110">
        <v>14000</v>
      </c>
      <c r="H44" s="114">
        <f t="shared" ref="H44:H82" si="14">SUM(E44:G44)</f>
        <v>14000</v>
      </c>
      <c r="K44" s="114">
        <f t="shared" ref="K44:K56" si="15">SUM(H44:J44)</f>
        <v>14000</v>
      </c>
      <c r="M44" s="114">
        <f t="shared" ref="M44:M82" si="16">SUM(K44:L44)</f>
        <v>14000</v>
      </c>
    </row>
    <row r="45" spans="1:13" ht="15.75">
      <c r="A45" s="200"/>
      <c r="B45" s="227"/>
      <c r="C45" s="14" t="s">
        <v>253</v>
      </c>
      <c r="D45" s="12">
        <v>815</v>
      </c>
      <c r="E45" s="110">
        <v>0</v>
      </c>
      <c r="H45" s="114">
        <f t="shared" si="14"/>
        <v>0</v>
      </c>
      <c r="K45" s="114">
        <f t="shared" si="15"/>
        <v>0</v>
      </c>
      <c r="M45" s="114">
        <f t="shared" si="16"/>
        <v>0</v>
      </c>
    </row>
    <row r="46" spans="1:13" ht="15.75">
      <c r="A46" s="200"/>
      <c r="B46" s="227"/>
      <c r="C46" s="14" t="s">
        <v>254</v>
      </c>
      <c r="D46" s="12">
        <v>816</v>
      </c>
      <c r="E46" s="110">
        <v>0</v>
      </c>
      <c r="H46" s="114">
        <f t="shared" si="14"/>
        <v>0</v>
      </c>
      <c r="K46" s="114">
        <f t="shared" si="15"/>
        <v>0</v>
      </c>
      <c r="M46" s="114">
        <f t="shared" si="16"/>
        <v>0</v>
      </c>
    </row>
    <row r="47" spans="1:13" ht="15.75">
      <c r="A47" s="200"/>
      <c r="B47" s="227"/>
      <c r="C47" s="14" t="s">
        <v>255</v>
      </c>
      <c r="D47" s="12">
        <v>817</v>
      </c>
      <c r="E47" s="110">
        <v>0</v>
      </c>
      <c r="H47" s="114">
        <f t="shared" si="14"/>
        <v>0</v>
      </c>
      <c r="K47" s="114">
        <f t="shared" si="15"/>
        <v>0</v>
      </c>
      <c r="M47" s="114">
        <f t="shared" si="16"/>
        <v>0</v>
      </c>
    </row>
    <row r="48" spans="1:13" ht="15.75">
      <c r="A48" s="200"/>
      <c r="B48" s="227"/>
      <c r="C48" s="14" t="s">
        <v>256</v>
      </c>
      <c r="D48" s="12">
        <v>818</v>
      </c>
      <c r="E48" s="110">
        <v>0</v>
      </c>
      <c r="H48" s="114">
        <f t="shared" si="14"/>
        <v>0</v>
      </c>
      <c r="K48" s="114">
        <f t="shared" si="15"/>
        <v>0</v>
      </c>
      <c r="M48" s="114">
        <f t="shared" si="16"/>
        <v>0</v>
      </c>
    </row>
    <row r="49" spans="1:13" ht="31.5">
      <c r="A49" s="200"/>
      <c r="B49" s="227"/>
      <c r="C49" s="14" t="s">
        <v>257</v>
      </c>
      <c r="D49" s="12">
        <v>819</v>
      </c>
      <c r="E49" s="110">
        <v>0</v>
      </c>
      <c r="H49" s="114">
        <f t="shared" si="14"/>
        <v>0</v>
      </c>
      <c r="K49" s="114">
        <f t="shared" si="15"/>
        <v>0</v>
      </c>
      <c r="M49" s="114">
        <f t="shared" si="16"/>
        <v>0</v>
      </c>
    </row>
    <row r="50" spans="1:13" ht="31.5">
      <c r="A50" s="200"/>
      <c r="B50" s="227"/>
      <c r="C50" s="14" t="s">
        <v>258</v>
      </c>
      <c r="D50" s="12">
        <v>820</v>
      </c>
      <c r="E50" s="110">
        <v>0</v>
      </c>
      <c r="H50" s="114">
        <f t="shared" si="14"/>
        <v>0</v>
      </c>
      <c r="K50" s="114">
        <f t="shared" si="15"/>
        <v>0</v>
      </c>
      <c r="M50" s="114">
        <f t="shared" si="16"/>
        <v>0</v>
      </c>
    </row>
    <row r="51" spans="1:13" ht="15.75">
      <c r="A51" s="200"/>
      <c r="B51" s="227"/>
      <c r="C51" s="14" t="s">
        <v>259</v>
      </c>
      <c r="D51" s="12">
        <v>821</v>
      </c>
      <c r="E51" s="110">
        <v>0</v>
      </c>
      <c r="H51" s="114">
        <f t="shared" si="14"/>
        <v>0</v>
      </c>
      <c r="K51" s="114">
        <f t="shared" si="15"/>
        <v>0</v>
      </c>
      <c r="M51" s="114">
        <f t="shared" si="16"/>
        <v>0</v>
      </c>
    </row>
    <row r="52" spans="1:13" ht="15.75">
      <c r="A52" s="200"/>
      <c r="B52" s="227"/>
      <c r="C52" s="14" t="s">
        <v>260</v>
      </c>
      <c r="D52" s="12">
        <v>822</v>
      </c>
      <c r="E52" s="110">
        <v>0</v>
      </c>
      <c r="H52" s="114">
        <f t="shared" si="14"/>
        <v>0</v>
      </c>
      <c r="K52" s="114">
        <f t="shared" si="15"/>
        <v>0</v>
      </c>
      <c r="M52" s="114">
        <f t="shared" si="16"/>
        <v>0</v>
      </c>
    </row>
    <row r="53" spans="1:13" ht="15.75">
      <c r="A53" s="200"/>
      <c r="B53" s="227"/>
      <c r="C53" s="14" t="s">
        <v>261</v>
      </c>
      <c r="D53" s="12">
        <v>823</v>
      </c>
      <c r="E53" s="110">
        <v>0</v>
      </c>
      <c r="H53" s="114">
        <f t="shared" si="14"/>
        <v>0</v>
      </c>
      <c r="K53" s="114">
        <f t="shared" si="15"/>
        <v>0</v>
      </c>
      <c r="M53" s="114">
        <f t="shared" si="16"/>
        <v>0</v>
      </c>
    </row>
    <row r="54" spans="1:13" ht="15.75">
      <c r="A54" s="200"/>
      <c r="B54" s="227"/>
      <c r="C54" s="14" t="s">
        <v>262</v>
      </c>
      <c r="D54" s="12">
        <v>824</v>
      </c>
      <c r="E54" s="110">
        <v>548000</v>
      </c>
      <c r="H54" s="114">
        <f t="shared" si="14"/>
        <v>548000</v>
      </c>
      <c r="K54" s="114">
        <f t="shared" si="15"/>
        <v>548000</v>
      </c>
      <c r="M54" s="114">
        <f t="shared" si="16"/>
        <v>548000</v>
      </c>
    </row>
    <row r="55" spans="1:13" ht="15.75">
      <c r="A55" s="200"/>
      <c r="B55" s="227"/>
      <c r="C55" s="14" t="s">
        <v>263</v>
      </c>
      <c r="D55" s="12">
        <v>825</v>
      </c>
      <c r="E55" s="110">
        <v>0</v>
      </c>
      <c r="H55" s="114">
        <f t="shared" si="14"/>
        <v>0</v>
      </c>
      <c r="K55" s="114">
        <f t="shared" si="15"/>
        <v>0</v>
      </c>
      <c r="M55" s="114">
        <f t="shared" si="16"/>
        <v>0</v>
      </c>
    </row>
    <row r="56" spans="1:13" ht="15.75">
      <c r="A56" s="200"/>
      <c r="B56" s="227"/>
      <c r="C56" s="14" t="s">
        <v>264</v>
      </c>
      <c r="D56" s="12">
        <v>826</v>
      </c>
      <c r="E56" s="110">
        <v>0</v>
      </c>
      <c r="H56" s="114">
        <f t="shared" si="14"/>
        <v>0</v>
      </c>
      <c r="K56" s="114">
        <f t="shared" si="15"/>
        <v>0</v>
      </c>
      <c r="M56" s="114">
        <f t="shared" si="16"/>
        <v>0</v>
      </c>
    </row>
    <row r="57" spans="1:13" ht="16.5" customHeight="1">
      <c r="A57" s="200"/>
      <c r="B57" s="227"/>
      <c r="C57" s="216" t="s">
        <v>265</v>
      </c>
      <c r="D57" s="217"/>
      <c r="E57" s="112">
        <f>SUM(E44:E56)</f>
        <v>562000</v>
      </c>
      <c r="F57" s="112">
        <f t="shared" ref="F57:M57" si="17">SUM(F44:F56)</f>
        <v>0</v>
      </c>
      <c r="G57" s="112">
        <f t="shared" si="17"/>
        <v>0</v>
      </c>
      <c r="H57" s="112">
        <f t="shared" si="17"/>
        <v>562000</v>
      </c>
      <c r="I57" s="112">
        <f t="shared" si="17"/>
        <v>0</v>
      </c>
      <c r="J57" s="112">
        <f t="shared" si="17"/>
        <v>0</v>
      </c>
      <c r="K57" s="112">
        <f t="shared" si="17"/>
        <v>562000</v>
      </c>
      <c r="L57" s="112">
        <f t="shared" si="17"/>
        <v>0</v>
      </c>
      <c r="M57" s="112">
        <f t="shared" si="17"/>
        <v>562000</v>
      </c>
    </row>
    <row r="58" spans="1:13" ht="31.5">
      <c r="A58" s="200"/>
      <c r="B58" s="211" t="s">
        <v>131</v>
      </c>
      <c r="C58" s="14" t="s">
        <v>266</v>
      </c>
      <c r="D58" s="12">
        <v>830</v>
      </c>
      <c r="E58" s="110">
        <v>0</v>
      </c>
      <c r="F58" s="110"/>
      <c r="G58" s="110"/>
      <c r="H58" s="114">
        <f t="shared" si="14"/>
        <v>0</v>
      </c>
      <c r="K58" s="114">
        <f t="shared" ref="K58:K65" si="18">SUM(H58:J58)</f>
        <v>0</v>
      </c>
      <c r="M58" s="114">
        <f t="shared" si="16"/>
        <v>0</v>
      </c>
    </row>
    <row r="59" spans="1:13" ht="31.5">
      <c r="A59" s="200"/>
      <c r="B59" s="211"/>
      <c r="C59" s="14" t="s">
        <v>267</v>
      </c>
      <c r="D59" s="12">
        <v>831</v>
      </c>
      <c r="E59" s="110">
        <v>0</v>
      </c>
      <c r="F59" s="110"/>
      <c r="G59" s="110"/>
      <c r="H59" s="114">
        <f t="shared" si="14"/>
        <v>0</v>
      </c>
      <c r="K59" s="114">
        <f t="shared" si="18"/>
        <v>0</v>
      </c>
      <c r="M59" s="114">
        <f t="shared" si="16"/>
        <v>0</v>
      </c>
    </row>
    <row r="60" spans="1:13" ht="31.5">
      <c r="A60" s="200"/>
      <c r="B60" s="211"/>
      <c r="C60" s="14" t="s">
        <v>268</v>
      </c>
      <c r="D60" s="12">
        <v>832</v>
      </c>
      <c r="E60" s="110">
        <v>0</v>
      </c>
      <c r="F60" s="110"/>
      <c r="G60" s="110"/>
      <c r="H60" s="114">
        <f t="shared" si="14"/>
        <v>0</v>
      </c>
      <c r="K60" s="114">
        <f t="shared" si="18"/>
        <v>0</v>
      </c>
      <c r="M60" s="114">
        <f t="shared" si="16"/>
        <v>0</v>
      </c>
    </row>
    <row r="61" spans="1:13" ht="15.75">
      <c r="A61" s="200"/>
      <c r="B61" s="211"/>
      <c r="C61" s="14" t="s">
        <v>269</v>
      </c>
      <c r="D61" s="12">
        <v>833</v>
      </c>
      <c r="E61" s="110">
        <v>0</v>
      </c>
      <c r="F61" s="110"/>
      <c r="G61" s="110"/>
      <c r="H61" s="114">
        <f t="shared" si="14"/>
        <v>0</v>
      </c>
      <c r="K61" s="114">
        <f t="shared" si="18"/>
        <v>0</v>
      </c>
      <c r="M61" s="114">
        <f t="shared" si="16"/>
        <v>0</v>
      </c>
    </row>
    <row r="62" spans="1:13" ht="31.5">
      <c r="A62" s="200"/>
      <c r="B62" s="211"/>
      <c r="C62" s="14" t="s">
        <v>270</v>
      </c>
      <c r="D62" s="12">
        <v>834</v>
      </c>
      <c r="E62" s="110">
        <v>0</v>
      </c>
      <c r="F62" s="110"/>
      <c r="G62" s="110"/>
      <c r="H62" s="114">
        <f t="shared" si="14"/>
        <v>0</v>
      </c>
      <c r="K62" s="114">
        <f t="shared" si="18"/>
        <v>0</v>
      </c>
      <c r="M62" s="114">
        <f t="shared" si="16"/>
        <v>0</v>
      </c>
    </row>
    <row r="63" spans="1:13" ht="31.5">
      <c r="A63" s="200"/>
      <c r="B63" s="211"/>
      <c r="C63" s="14" t="s">
        <v>271</v>
      </c>
      <c r="D63" s="12">
        <v>835</v>
      </c>
      <c r="E63" s="110">
        <v>0</v>
      </c>
      <c r="F63" s="110"/>
      <c r="G63" s="110"/>
      <c r="H63" s="114">
        <f t="shared" si="14"/>
        <v>0</v>
      </c>
      <c r="K63" s="114">
        <f t="shared" si="18"/>
        <v>0</v>
      </c>
      <c r="M63" s="114">
        <f t="shared" si="16"/>
        <v>0</v>
      </c>
    </row>
    <row r="64" spans="1:13" ht="31.5">
      <c r="A64" s="200"/>
      <c r="B64" s="211"/>
      <c r="C64" s="14" t="s">
        <v>272</v>
      </c>
      <c r="D64" s="12">
        <v>836</v>
      </c>
      <c r="E64" s="110">
        <v>0</v>
      </c>
      <c r="F64" s="110"/>
      <c r="G64" s="110"/>
      <c r="H64" s="114">
        <f t="shared" si="14"/>
        <v>0</v>
      </c>
      <c r="K64" s="114">
        <f t="shared" si="18"/>
        <v>0</v>
      </c>
      <c r="M64" s="114">
        <f t="shared" si="16"/>
        <v>0</v>
      </c>
    </row>
    <row r="65" spans="1:13" ht="15.75">
      <c r="A65" s="200"/>
      <c r="B65" s="211"/>
      <c r="C65" s="14" t="s">
        <v>273</v>
      </c>
      <c r="D65" s="12">
        <v>837</v>
      </c>
      <c r="E65" s="110">
        <v>971000</v>
      </c>
      <c r="F65" s="110">
        <v>0</v>
      </c>
      <c r="G65" s="110">
        <v>-1000</v>
      </c>
      <c r="H65" s="114">
        <f t="shared" si="14"/>
        <v>970000</v>
      </c>
      <c r="K65" s="114">
        <f t="shared" si="18"/>
        <v>970000</v>
      </c>
      <c r="M65" s="114">
        <f t="shared" si="16"/>
        <v>970000</v>
      </c>
    </row>
    <row r="66" spans="1:13" ht="17.25" customHeight="1">
      <c r="A66" s="200"/>
      <c r="B66" s="211"/>
      <c r="C66" s="231" t="s">
        <v>274</v>
      </c>
      <c r="D66" s="232"/>
      <c r="E66" s="112">
        <f>SUM(E58:E65)</f>
        <v>971000</v>
      </c>
      <c r="F66" s="112">
        <f t="shared" ref="F66:M66" si="19">SUM(F58:F65)</f>
        <v>0</v>
      </c>
      <c r="G66" s="112">
        <f t="shared" si="19"/>
        <v>-1000</v>
      </c>
      <c r="H66" s="112">
        <f t="shared" si="19"/>
        <v>970000</v>
      </c>
      <c r="I66" s="112">
        <f t="shared" si="19"/>
        <v>0</v>
      </c>
      <c r="J66" s="112">
        <f t="shared" si="19"/>
        <v>0</v>
      </c>
      <c r="K66" s="112">
        <f t="shared" si="19"/>
        <v>970000</v>
      </c>
      <c r="L66" s="112">
        <f t="shared" si="19"/>
        <v>0</v>
      </c>
      <c r="M66" s="112">
        <f t="shared" si="19"/>
        <v>970000</v>
      </c>
    </row>
    <row r="67" spans="1:13" ht="31.5">
      <c r="A67" s="200"/>
      <c r="B67" s="211" t="s">
        <v>132</v>
      </c>
      <c r="C67" s="14" t="s">
        <v>252</v>
      </c>
      <c r="D67" s="98">
        <v>840</v>
      </c>
      <c r="E67" s="110">
        <v>0</v>
      </c>
      <c r="F67" s="110"/>
      <c r="G67" s="110"/>
      <c r="H67" s="114">
        <f t="shared" si="14"/>
        <v>0</v>
      </c>
      <c r="I67" s="110"/>
      <c r="J67" s="110"/>
      <c r="K67" s="114">
        <f t="shared" ref="K67:K72" si="20">SUM(H67:J67)</f>
        <v>0</v>
      </c>
      <c r="L67" s="110"/>
      <c r="M67" s="114">
        <f t="shared" si="16"/>
        <v>0</v>
      </c>
    </row>
    <row r="68" spans="1:13" ht="15.75">
      <c r="A68" s="200"/>
      <c r="B68" s="211"/>
      <c r="C68" s="14" t="s">
        <v>275</v>
      </c>
      <c r="D68" s="98">
        <v>841</v>
      </c>
      <c r="E68" s="110">
        <v>0</v>
      </c>
      <c r="F68" s="110"/>
      <c r="G68" s="110"/>
      <c r="H68" s="114">
        <f t="shared" si="14"/>
        <v>0</v>
      </c>
      <c r="I68" s="110"/>
      <c r="J68" s="110"/>
      <c r="K68" s="114">
        <f t="shared" si="20"/>
        <v>0</v>
      </c>
      <c r="L68" s="110"/>
      <c r="M68" s="114">
        <f t="shared" si="16"/>
        <v>0</v>
      </c>
    </row>
    <row r="69" spans="1:13" ht="15.75">
      <c r="A69" s="200"/>
      <c r="B69" s="211"/>
      <c r="C69" s="11" t="s">
        <v>264</v>
      </c>
      <c r="D69" s="98">
        <v>842</v>
      </c>
      <c r="E69" s="110">
        <v>0</v>
      </c>
      <c r="F69" s="110"/>
      <c r="G69" s="110"/>
      <c r="H69" s="114">
        <f t="shared" si="14"/>
        <v>0</v>
      </c>
      <c r="I69" s="110"/>
      <c r="J69" s="110"/>
      <c r="K69" s="114">
        <f t="shared" si="20"/>
        <v>0</v>
      </c>
      <c r="L69" s="110"/>
      <c r="M69" s="114">
        <f t="shared" si="16"/>
        <v>0</v>
      </c>
    </row>
    <row r="70" spans="1:13" ht="15.75">
      <c r="A70" s="200"/>
      <c r="B70" s="211"/>
      <c r="C70" s="11" t="s">
        <v>276</v>
      </c>
      <c r="D70" s="98">
        <v>842.1</v>
      </c>
      <c r="E70" s="110">
        <v>0</v>
      </c>
      <c r="F70" s="110"/>
      <c r="G70" s="110"/>
      <c r="H70" s="114">
        <f t="shared" si="14"/>
        <v>0</v>
      </c>
      <c r="I70" s="110"/>
      <c r="J70" s="110"/>
      <c r="K70" s="114">
        <f t="shared" si="20"/>
        <v>0</v>
      </c>
      <c r="L70" s="110"/>
      <c r="M70" s="114">
        <f t="shared" si="16"/>
        <v>0</v>
      </c>
    </row>
    <row r="71" spans="1:13" ht="15.75">
      <c r="A71" s="200"/>
      <c r="B71" s="211"/>
      <c r="C71" s="11" t="s">
        <v>277</v>
      </c>
      <c r="D71" s="98">
        <v>842.2</v>
      </c>
      <c r="E71" s="110">
        <v>0</v>
      </c>
      <c r="F71" s="110"/>
      <c r="G71" s="110"/>
      <c r="H71" s="114">
        <f t="shared" si="14"/>
        <v>0</v>
      </c>
      <c r="I71" s="110"/>
      <c r="J71" s="110"/>
      <c r="K71" s="114">
        <f t="shared" si="20"/>
        <v>0</v>
      </c>
      <c r="L71" s="110"/>
      <c r="M71" s="114">
        <f t="shared" si="16"/>
        <v>0</v>
      </c>
    </row>
    <row r="72" spans="1:13" ht="15.75">
      <c r="A72" s="200"/>
      <c r="B72" s="211"/>
      <c r="C72" s="11" t="s">
        <v>261</v>
      </c>
      <c r="D72" s="98">
        <v>842.3</v>
      </c>
      <c r="E72" s="110">
        <v>0</v>
      </c>
      <c r="F72" s="110"/>
      <c r="G72" s="110"/>
      <c r="H72" s="114">
        <f t="shared" si="14"/>
        <v>0</v>
      </c>
      <c r="I72" s="110"/>
      <c r="J72" s="110"/>
      <c r="K72" s="114">
        <f t="shared" si="20"/>
        <v>0</v>
      </c>
      <c r="L72" s="110"/>
      <c r="M72" s="114">
        <f t="shared" si="16"/>
        <v>0</v>
      </c>
    </row>
    <row r="73" spans="1:13" ht="15.75">
      <c r="A73" s="200"/>
      <c r="B73" s="211"/>
      <c r="C73" s="205" t="s">
        <v>132</v>
      </c>
      <c r="D73" s="210"/>
      <c r="E73" s="112">
        <f ca="1">SUM(E67:E73)</f>
        <v>0</v>
      </c>
      <c r="F73" s="112">
        <f t="shared" ref="F73:M73" ca="1" si="21">SUM(F67:F73)</f>
        <v>0</v>
      </c>
      <c r="G73" s="112">
        <f t="shared" ca="1" si="21"/>
        <v>0</v>
      </c>
      <c r="H73" s="112">
        <f t="shared" ca="1" si="21"/>
        <v>0</v>
      </c>
      <c r="I73" s="112">
        <f t="shared" ca="1" si="21"/>
        <v>0</v>
      </c>
      <c r="J73" s="112">
        <f t="shared" ca="1" si="21"/>
        <v>0</v>
      </c>
      <c r="K73" s="112">
        <f t="shared" ca="1" si="21"/>
        <v>0</v>
      </c>
      <c r="L73" s="112">
        <f t="shared" ca="1" si="21"/>
        <v>0</v>
      </c>
      <c r="M73" s="112">
        <f t="shared" ca="1" si="21"/>
        <v>0</v>
      </c>
    </row>
    <row r="74" spans="1:13" ht="31.5">
      <c r="A74" s="200"/>
      <c r="B74" s="211" t="s">
        <v>133</v>
      </c>
      <c r="C74" s="11" t="s">
        <v>266</v>
      </c>
      <c r="D74" s="98">
        <v>843.1</v>
      </c>
      <c r="E74" s="110">
        <v>0</v>
      </c>
      <c r="F74" s="110"/>
      <c r="G74" s="110"/>
      <c r="H74" s="114">
        <f t="shared" si="14"/>
        <v>0</v>
      </c>
      <c r="I74" s="110"/>
      <c r="J74" s="110"/>
      <c r="K74" s="114">
        <f t="shared" ref="K74:K82" si="22">SUM(H74:J74)</f>
        <v>0</v>
      </c>
      <c r="L74" s="110"/>
      <c r="M74" s="114">
        <f t="shared" si="16"/>
        <v>0</v>
      </c>
    </row>
    <row r="75" spans="1:13" ht="31.5">
      <c r="A75" s="200"/>
      <c r="B75" s="211"/>
      <c r="C75" s="11" t="s">
        <v>267</v>
      </c>
      <c r="D75" s="98">
        <v>843.2</v>
      </c>
      <c r="E75" s="110">
        <v>0</v>
      </c>
      <c r="F75" s="110"/>
      <c r="G75" s="110"/>
      <c r="H75" s="114">
        <f t="shared" si="14"/>
        <v>0</v>
      </c>
      <c r="I75" s="110"/>
      <c r="J75" s="110"/>
      <c r="K75" s="114">
        <f t="shared" si="22"/>
        <v>0</v>
      </c>
      <c r="L75" s="110"/>
      <c r="M75" s="114">
        <f t="shared" si="16"/>
        <v>0</v>
      </c>
    </row>
    <row r="76" spans="1:13" ht="15.75">
      <c r="A76" s="200"/>
      <c r="B76" s="211"/>
      <c r="C76" s="11" t="s">
        <v>278</v>
      </c>
      <c r="D76" s="98">
        <v>843.3</v>
      </c>
      <c r="E76" s="110">
        <v>0</v>
      </c>
      <c r="F76" s="110"/>
      <c r="G76" s="110"/>
      <c r="H76" s="114">
        <f t="shared" si="14"/>
        <v>0</v>
      </c>
      <c r="I76" s="110"/>
      <c r="J76" s="110"/>
      <c r="K76" s="114">
        <f t="shared" si="22"/>
        <v>0</v>
      </c>
      <c r="L76" s="110"/>
      <c r="M76" s="114">
        <f t="shared" si="16"/>
        <v>0</v>
      </c>
    </row>
    <row r="77" spans="1:13" ht="31.5">
      <c r="A77" s="200"/>
      <c r="B77" s="211"/>
      <c r="C77" s="11" t="s">
        <v>272</v>
      </c>
      <c r="D77" s="98">
        <v>843.4</v>
      </c>
      <c r="E77" s="110">
        <v>0</v>
      </c>
      <c r="F77" s="110"/>
      <c r="G77" s="110"/>
      <c r="H77" s="114">
        <f t="shared" si="14"/>
        <v>0</v>
      </c>
      <c r="I77" s="110"/>
      <c r="J77" s="110"/>
      <c r="K77" s="114">
        <f t="shared" si="22"/>
        <v>0</v>
      </c>
      <c r="L77" s="110"/>
      <c r="M77" s="114">
        <f t="shared" si="16"/>
        <v>0</v>
      </c>
    </row>
    <row r="78" spans="1:13" ht="31.5">
      <c r="A78" s="200"/>
      <c r="B78" s="211"/>
      <c r="C78" s="11" t="s">
        <v>279</v>
      </c>
      <c r="D78" s="98">
        <v>843.5</v>
      </c>
      <c r="E78" s="110">
        <v>0</v>
      </c>
      <c r="F78" s="110"/>
      <c r="G78" s="110"/>
      <c r="H78" s="114">
        <f t="shared" si="14"/>
        <v>0</v>
      </c>
      <c r="I78" s="110"/>
      <c r="J78" s="110"/>
      <c r="K78" s="114">
        <f t="shared" si="22"/>
        <v>0</v>
      </c>
      <c r="L78" s="110"/>
      <c r="M78" s="114">
        <f t="shared" si="16"/>
        <v>0</v>
      </c>
    </row>
    <row r="79" spans="1:13" ht="31.5">
      <c r="A79" s="200"/>
      <c r="B79" s="211"/>
      <c r="C79" s="11" t="s">
        <v>280</v>
      </c>
      <c r="D79" s="98">
        <v>843.6</v>
      </c>
      <c r="E79" s="110">
        <v>0</v>
      </c>
      <c r="F79" s="110"/>
      <c r="G79" s="110"/>
      <c r="H79" s="114">
        <f t="shared" si="14"/>
        <v>0</v>
      </c>
      <c r="I79" s="110"/>
      <c r="J79" s="110"/>
      <c r="K79" s="114">
        <f t="shared" si="22"/>
        <v>0</v>
      </c>
      <c r="L79" s="110"/>
      <c r="M79" s="114">
        <f t="shared" si="16"/>
        <v>0</v>
      </c>
    </row>
    <row r="80" spans="1:13" ht="31.5">
      <c r="A80" s="200"/>
      <c r="B80" s="211"/>
      <c r="C80" s="11" t="s">
        <v>281</v>
      </c>
      <c r="D80" s="98">
        <v>843.7</v>
      </c>
      <c r="E80" s="110">
        <v>0</v>
      </c>
      <c r="F80" s="110"/>
      <c r="G80" s="110"/>
      <c r="H80" s="114">
        <f t="shared" si="14"/>
        <v>0</v>
      </c>
      <c r="I80" s="110"/>
      <c r="J80" s="110"/>
      <c r="K80" s="114">
        <f t="shared" si="22"/>
        <v>0</v>
      </c>
      <c r="L80" s="110"/>
      <c r="M80" s="114">
        <f t="shared" si="16"/>
        <v>0</v>
      </c>
    </row>
    <row r="81" spans="1:13" ht="31.5">
      <c r="A81" s="200"/>
      <c r="B81" s="211"/>
      <c r="C81" s="11" t="s">
        <v>282</v>
      </c>
      <c r="D81" s="98">
        <v>843.8</v>
      </c>
      <c r="E81" s="110">
        <v>0</v>
      </c>
      <c r="F81" s="110"/>
      <c r="G81" s="110"/>
      <c r="H81" s="114">
        <f t="shared" si="14"/>
        <v>0</v>
      </c>
      <c r="I81" s="110"/>
      <c r="J81" s="110"/>
      <c r="K81" s="114">
        <f t="shared" si="22"/>
        <v>0</v>
      </c>
      <c r="L81" s="110"/>
      <c r="M81" s="114">
        <f t="shared" si="16"/>
        <v>0</v>
      </c>
    </row>
    <row r="82" spans="1:13" ht="15.75">
      <c r="A82" s="200"/>
      <c r="B82" s="211"/>
      <c r="C82" s="11" t="s">
        <v>273</v>
      </c>
      <c r="D82" s="98">
        <v>843.9</v>
      </c>
      <c r="E82" s="110">
        <v>0</v>
      </c>
      <c r="F82" s="110"/>
      <c r="G82" s="110"/>
      <c r="H82" s="114">
        <f t="shared" si="14"/>
        <v>0</v>
      </c>
      <c r="I82" s="110"/>
      <c r="J82" s="110"/>
      <c r="K82" s="114">
        <f t="shared" si="22"/>
        <v>0</v>
      </c>
      <c r="L82" s="110"/>
      <c r="M82" s="114">
        <f t="shared" si="16"/>
        <v>0</v>
      </c>
    </row>
    <row r="83" spans="1:13" ht="15.75">
      <c r="A83" s="200"/>
      <c r="B83" s="207"/>
      <c r="C83" s="212" t="s">
        <v>133</v>
      </c>
      <c r="D83" s="212"/>
      <c r="E83" s="112">
        <f ca="1">SUM(E77:E83)</f>
        <v>0</v>
      </c>
      <c r="F83" s="112">
        <f t="shared" ref="F83:L83" ca="1" si="23">SUM(F77:F83)</f>
        <v>0</v>
      </c>
      <c r="G83" s="112">
        <f t="shared" ca="1" si="23"/>
        <v>0</v>
      </c>
      <c r="H83" s="112">
        <f t="shared" ca="1" si="23"/>
        <v>0</v>
      </c>
      <c r="I83" s="112">
        <f t="shared" ca="1" si="23"/>
        <v>0</v>
      </c>
      <c r="J83" s="112">
        <f t="shared" ca="1" si="23"/>
        <v>0</v>
      </c>
      <c r="K83" s="112">
        <f t="shared" ca="1" si="23"/>
        <v>0</v>
      </c>
      <c r="L83" s="112">
        <f t="shared" ca="1" si="23"/>
        <v>0</v>
      </c>
      <c r="M83" s="112">
        <f t="shared" ref="M83" ca="1" si="24">SUM(M77:M83)</f>
        <v>0</v>
      </c>
    </row>
    <row r="84" spans="1:13" ht="15.75">
      <c r="A84" s="201"/>
      <c r="B84" s="187" t="s">
        <v>179</v>
      </c>
      <c r="C84" s="188"/>
      <c r="D84" s="189"/>
      <c r="E84" s="115">
        <f ca="1">E57+E66+E73+E83</f>
        <v>1533000</v>
      </c>
      <c r="F84" s="115">
        <f t="shared" ref="F84:M84" ca="1" si="25">F57+F66+F73+F83</f>
        <v>0</v>
      </c>
      <c r="G84" s="115">
        <f t="shared" ca="1" si="25"/>
        <v>-1000</v>
      </c>
      <c r="H84" s="115">
        <f t="shared" ca="1" si="25"/>
        <v>1532000</v>
      </c>
      <c r="I84" s="115">
        <f t="shared" ca="1" si="25"/>
        <v>0</v>
      </c>
      <c r="J84" s="115">
        <f t="shared" ca="1" si="25"/>
        <v>0</v>
      </c>
      <c r="K84" s="115">
        <f t="shared" ca="1" si="25"/>
        <v>1532000</v>
      </c>
      <c r="L84" s="115">
        <f t="shared" ca="1" si="25"/>
        <v>0</v>
      </c>
      <c r="M84" s="115">
        <f t="shared" ca="1" si="25"/>
        <v>1532000</v>
      </c>
    </row>
    <row r="85" spans="1:13" ht="31.5">
      <c r="A85" s="199" t="s">
        <v>180</v>
      </c>
      <c r="B85" s="211" t="s">
        <v>134</v>
      </c>
      <c r="C85" s="99" t="s">
        <v>252</v>
      </c>
      <c r="D85" s="97">
        <v>850</v>
      </c>
      <c r="E85" s="110">
        <v>0</v>
      </c>
      <c r="H85" s="114">
        <f t="shared" ref="H85:H148" si="26">SUM(E85:G85)</f>
        <v>0</v>
      </c>
      <c r="K85" s="114">
        <f t="shared" ref="K85:K148" si="27">SUM(H85:J85)</f>
        <v>0</v>
      </c>
      <c r="M85" s="114">
        <f t="shared" ref="M85:M148" si="28">SUM(K85:L85)</f>
        <v>0</v>
      </c>
    </row>
    <row r="86" spans="1:13" ht="31.5">
      <c r="A86" s="200"/>
      <c r="B86" s="211"/>
      <c r="C86" s="11" t="s">
        <v>283</v>
      </c>
      <c r="D86" s="12">
        <v>851</v>
      </c>
      <c r="E86" s="110">
        <v>0</v>
      </c>
      <c r="H86" s="114">
        <f t="shared" si="26"/>
        <v>0</v>
      </c>
      <c r="K86" s="114">
        <f t="shared" si="27"/>
        <v>0</v>
      </c>
      <c r="M86" s="114">
        <f t="shared" si="28"/>
        <v>0</v>
      </c>
    </row>
    <row r="87" spans="1:13" ht="15.75">
      <c r="A87" s="200"/>
      <c r="B87" s="211"/>
      <c r="C87" s="11" t="s">
        <v>284</v>
      </c>
      <c r="D87" s="12">
        <v>852</v>
      </c>
      <c r="E87" s="110">
        <v>0</v>
      </c>
      <c r="H87" s="114">
        <f t="shared" si="26"/>
        <v>0</v>
      </c>
      <c r="K87" s="114">
        <f t="shared" si="27"/>
        <v>0</v>
      </c>
      <c r="M87" s="114">
        <f t="shared" si="28"/>
        <v>0</v>
      </c>
    </row>
    <row r="88" spans="1:13" ht="31.5">
      <c r="A88" s="200"/>
      <c r="B88" s="211"/>
      <c r="C88" s="11" t="s">
        <v>285</v>
      </c>
      <c r="D88" s="12">
        <v>853</v>
      </c>
      <c r="E88" s="110">
        <v>0</v>
      </c>
      <c r="H88" s="114">
        <f t="shared" si="26"/>
        <v>0</v>
      </c>
      <c r="K88" s="114">
        <f t="shared" si="27"/>
        <v>0</v>
      </c>
      <c r="M88" s="114">
        <f t="shared" si="28"/>
        <v>0</v>
      </c>
    </row>
    <row r="89" spans="1:13" ht="15.75">
      <c r="A89" s="200"/>
      <c r="B89" s="211"/>
      <c r="C89" s="11" t="s">
        <v>286</v>
      </c>
      <c r="D89" s="12">
        <v>854</v>
      </c>
      <c r="E89" s="110">
        <v>0</v>
      </c>
      <c r="H89" s="114">
        <f t="shared" si="26"/>
        <v>0</v>
      </c>
      <c r="K89" s="114">
        <f t="shared" si="27"/>
        <v>0</v>
      </c>
      <c r="M89" s="114">
        <f t="shared" si="28"/>
        <v>0</v>
      </c>
    </row>
    <row r="90" spans="1:13" ht="31.5">
      <c r="A90" s="200"/>
      <c r="B90" s="211"/>
      <c r="C90" s="11" t="s">
        <v>287</v>
      </c>
      <c r="D90" s="12">
        <v>855</v>
      </c>
      <c r="E90" s="110">
        <v>0</v>
      </c>
      <c r="H90" s="114">
        <f t="shared" si="26"/>
        <v>0</v>
      </c>
      <c r="K90" s="114">
        <f t="shared" si="27"/>
        <v>0</v>
      </c>
      <c r="M90" s="114">
        <f t="shared" si="28"/>
        <v>0</v>
      </c>
    </row>
    <row r="91" spans="1:13" ht="15.75">
      <c r="A91" s="200"/>
      <c r="B91" s="211"/>
      <c r="C91" s="11" t="s">
        <v>288</v>
      </c>
      <c r="D91" s="12">
        <v>856</v>
      </c>
      <c r="E91" s="110">
        <v>0</v>
      </c>
      <c r="H91" s="114">
        <f t="shared" si="26"/>
        <v>0</v>
      </c>
      <c r="K91" s="114">
        <f t="shared" si="27"/>
        <v>0</v>
      </c>
      <c r="M91" s="114">
        <f t="shared" si="28"/>
        <v>0</v>
      </c>
    </row>
    <row r="92" spans="1:13" ht="31.5">
      <c r="A92" s="200"/>
      <c r="B92" s="211"/>
      <c r="C92" s="11" t="s">
        <v>258</v>
      </c>
      <c r="D92" s="12">
        <v>857</v>
      </c>
      <c r="E92" s="110">
        <v>0</v>
      </c>
      <c r="H92" s="114">
        <f t="shared" si="26"/>
        <v>0</v>
      </c>
      <c r="K92" s="114">
        <f t="shared" si="27"/>
        <v>0</v>
      </c>
      <c r="M92" s="114">
        <f t="shared" si="28"/>
        <v>0</v>
      </c>
    </row>
    <row r="93" spans="1:13" ht="31.5">
      <c r="A93" s="200"/>
      <c r="B93" s="211"/>
      <c r="C93" s="11" t="s">
        <v>289</v>
      </c>
      <c r="D93" s="12">
        <v>858</v>
      </c>
      <c r="E93" s="110">
        <v>0</v>
      </c>
      <c r="H93" s="114">
        <f t="shared" si="26"/>
        <v>0</v>
      </c>
      <c r="K93" s="114">
        <f t="shared" si="27"/>
        <v>0</v>
      </c>
      <c r="M93" s="114">
        <f t="shared" si="28"/>
        <v>0</v>
      </c>
    </row>
    <row r="94" spans="1:13" ht="15.75">
      <c r="A94" s="200"/>
      <c r="B94" s="211"/>
      <c r="C94" s="11" t="s">
        <v>262</v>
      </c>
      <c r="D94" s="12">
        <v>859</v>
      </c>
      <c r="E94" s="110">
        <v>0</v>
      </c>
      <c r="H94" s="114">
        <f t="shared" si="26"/>
        <v>0</v>
      </c>
      <c r="K94" s="114">
        <f t="shared" si="27"/>
        <v>0</v>
      </c>
      <c r="M94" s="114">
        <f t="shared" si="28"/>
        <v>0</v>
      </c>
    </row>
    <row r="95" spans="1:13" ht="15.75">
      <c r="A95" s="200"/>
      <c r="B95" s="211"/>
      <c r="C95" s="11" t="s">
        <v>264</v>
      </c>
      <c r="D95" s="12">
        <v>860</v>
      </c>
      <c r="E95" s="110">
        <v>0</v>
      </c>
      <c r="H95" s="114">
        <f t="shared" si="26"/>
        <v>0</v>
      </c>
      <c r="K95" s="114">
        <f t="shared" si="27"/>
        <v>0</v>
      </c>
      <c r="M95" s="114">
        <f t="shared" si="28"/>
        <v>0</v>
      </c>
    </row>
    <row r="96" spans="1:13" ht="15.75">
      <c r="A96" s="200"/>
      <c r="B96" s="211"/>
      <c r="C96" s="212" t="s">
        <v>132</v>
      </c>
      <c r="D96" s="212"/>
      <c r="E96" s="112">
        <f ca="1">SUM(E85:E96)</f>
        <v>0</v>
      </c>
      <c r="F96" s="112">
        <f t="shared" ref="F96:M96" ca="1" si="29">SUM(F85:F96)</f>
        <v>0</v>
      </c>
      <c r="G96" s="112">
        <f t="shared" ca="1" si="29"/>
        <v>0</v>
      </c>
      <c r="H96" s="112">
        <f t="shared" ca="1" si="29"/>
        <v>0</v>
      </c>
      <c r="I96" s="112">
        <f t="shared" ca="1" si="29"/>
        <v>0</v>
      </c>
      <c r="J96" s="112">
        <f t="shared" ca="1" si="29"/>
        <v>0</v>
      </c>
      <c r="K96" s="112">
        <f t="shared" ca="1" si="29"/>
        <v>0</v>
      </c>
      <c r="L96" s="112">
        <f t="shared" ca="1" si="29"/>
        <v>0</v>
      </c>
      <c r="M96" s="112">
        <f t="shared" ca="1" si="29"/>
        <v>0</v>
      </c>
    </row>
    <row r="97" spans="1:13" ht="31.5">
      <c r="A97" s="200"/>
      <c r="B97" s="211" t="s">
        <v>135</v>
      </c>
      <c r="C97" s="11" t="s">
        <v>266</v>
      </c>
      <c r="D97" s="12">
        <v>861</v>
      </c>
      <c r="E97" s="110">
        <v>0</v>
      </c>
      <c r="F97" s="110"/>
      <c r="G97" s="110"/>
      <c r="H97" s="114">
        <f t="shared" si="26"/>
        <v>0</v>
      </c>
      <c r="K97" s="114">
        <f t="shared" si="27"/>
        <v>0</v>
      </c>
      <c r="M97" s="114">
        <f t="shared" si="28"/>
        <v>0</v>
      </c>
    </row>
    <row r="98" spans="1:13" ht="31.5">
      <c r="A98" s="200"/>
      <c r="B98" s="211"/>
      <c r="C98" s="11" t="s">
        <v>267</v>
      </c>
      <c r="D98" s="12">
        <v>862</v>
      </c>
      <c r="E98" s="110">
        <v>0</v>
      </c>
      <c r="F98" s="110"/>
      <c r="G98" s="110"/>
      <c r="H98" s="114">
        <f t="shared" si="26"/>
        <v>0</v>
      </c>
      <c r="K98" s="114">
        <f t="shared" si="27"/>
        <v>0</v>
      </c>
      <c r="M98" s="114">
        <f t="shared" si="28"/>
        <v>0</v>
      </c>
    </row>
    <row r="99" spans="1:13" ht="15.75">
      <c r="A99" s="200"/>
      <c r="B99" s="211"/>
      <c r="C99" s="11" t="s">
        <v>290</v>
      </c>
      <c r="D99" s="12">
        <v>863</v>
      </c>
      <c r="E99" s="110">
        <v>0</v>
      </c>
      <c r="F99" s="110"/>
      <c r="G99" s="110"/>
      <c r="H99" s="114">
        <f t="shared" si="26"/>
        <v>0</v>
      </c>
      <c r="K99" s="114">
        <f t="shared" si="27"/>
        <v>0</v>
      </c>
      <c r="M99" s="114">
        <f t="shared" si="28"/>
        <v>0</v>
      </c>
    </row>
    <row r="100" spans="1:13" ht="31.5">
      <c r="A100" s="200"/>
      <c r="B100" s="211"/>
      <c r="C100" s="11" t="s">
        <v>270</v>
      </c>
      <c r="D100" s="12">
        <v>864</v>
      </c>
      <c r="E100" s="110">
        <v>0</v>
      </c>
      <c r="F100" s="110"/>
      <c r="G100" s="110"/>
      <c r="H100" s="114">
        <f t="shared" si="26"/>
        <v>0</v>
      </c>
      <c r="K100" s="114">
        <f t="shared" si="27"/>
        <v>0</v>
      </c>
      <c r="M100" s="114">
        <f t="shared" si="28"/>
        <v>0</v>
      </c>
    </row>
    <row r="101" spans="1:13" ht="31.5">
      <c r="A101" s="200"/>
      <c r="B101" s="211"/>
      <c r="C101" s="11" t="s">
        <v>271</v>
      </c>
      <c r="D101" s="12">
        <v>865</v>
      </c>
      <c r="E101" s="110">
        <v>0</v>
      </c>
      <c r="F101" s="110"/>
      <c r="G101" s="110"/>
      <c r="H101" s="114">
        <f t="shared" si="26"/>
        <v>0</v>
      </c>
      <c r="K101" s="114">
        <f t="shared" si="27"/>
        <v>0</v>
      </c>
      <c r="M101" s="114">
        <f t="shared" si="28"/>
        <v>0</v>
      </c>
    </row>
    <row r="102" spans="1:13" ht="31.5">
      <c r="A102" s="200"/>
      <c r="B102" s="211"/>
      <c r="C102" s="11" t="s">
        <v>291</v>
      </c>
      <c r="D102" s="12">
        <v>866</v>
      </c>
      <c r="E102" s="110">
        <v>0</v>
      </c>
      <c r="F102" s="110"/>
      <c r="G102" s="110"/>
      <c r="H102" s="114">
        <f t="shared" si="26"/>
        <v>0</v>
      </c>
      <c r="K102" s="114">
        <f t="shared" si="27"/>
        <v>0</v>
      </c>
      <c r="M102" s="114">
        <f t="shared" si="28"/>
        <v>0</v>
      </c>
    </row>
    <row r="103" spans="1:13" ht="15.75">
      <c r="A103" s="200"/>
      <c r="B103" s="211"/>
      <c r="C103" s="11" t="s">
        <v>273</v>
      </c>
      <c r="D103" s="12">
        <v>867</v>
      </c>
      <c r="E103" s="110">
        <v>0</v>
      </c>
      <c r="F103" s="110"/>
      <c r="G103" s="110"/>
      <c r="H103" s="114">
        <f t="shared" si="26"/>
        <v>0</v>
      </c>
      <c r="K103" s="114">
        <f t="shared" si="27"/>
        <v>0</v>
      </c>
      <c r="M103" s="114">
        <f t="shared" si="28"/>
        <v>0</v>
      </c>
    </row>
    <row r="104" spans="1:13" ht="31.5">
      <c r="A104" s="200"/>
      <c r="B104" s="211"/>
      <c r="C104" s="116" t="s">
        <v>252</v>
      </c>
      <c r="D104" s="117">
        <v>870</v>
      </c>
      <c r="E104" s="110">
        <v>1405000</v>
      </c>
      <c r="F104" s="110">
        <v>-5000</v>
      </c>
      <c r="G104" s="110"/>
      <c r="H104" s="114">
        <f t="shared" si="26"/>
        <v>1400000</v>
      </c>
      <c r="I104" s="114">
        <f>61000-F104</f>
        <v>66000</v>
      </c>
      <c r="K104" s="114">
        <f t="shared" si="27"/>
        <v>1466000</v>
      </c>
      <c r="M104" s="114">
        <f t="shared" si="28"/>
        <v>1466000</v>
      </c>
    </row>
    <row r="105" spans="1:13" ht="15.75">
      <c r="A105" s="200"/>
      <c r="B105" s="211"/>
      <c r="C105" s="197" t="s">
        <v>133</v>
      </c>
      <c r="D105" s="198"/>
      <c r="E105" s="112">
        <f>SUM(E97:E104)</f>
        <v>1405000</v>
      </c>
      <c r="F105" s="112">
        <f t="shared" ref="F105:M105" si="30">SUM(F97:F104)</f>
        <v>-5000</v>
      </c>
      <c r="G105" s="112">
        <f t="shared" si="30"/>
        <v>0</v>
      </c>
      <c r="H105" s="112">
        <f t="shared" si="30"/>
        <v>1400000</v>
      </c>
      <c r="I105" s="112">
        <f t="shared" si="30"/>
        <v>66000</v>
      </c>
      <c r="J105" s="112">
        <f t="shared" si="30"/>
        <v>0</v>
      </c>
      <c r="K105" s="112">
        <f t="shared" si="30"/>
        <v>1466000</v>
      </c>
      <c r="L105" s="112">
        <f t="shared" si="30"/>
        <v>0</v>
      </c>
      <c r="M105" s="112">
        <f t="shared" si="30"/>
        <v>1466000</v>
      </c>
    </row>
    <row r="106" spans="1:13" ht="15.75">
      <c r="A106" s="201"/>
      <c r="B106" s="187" t="s">
        <v>180</v>
      </c>
      <c r="C106" s="188"/>
      <c r="D106" s="189"/>
      <c r="E106" s="115">
        <f ca="1">E96+E105</f>
        <v>1405000</v>
      </c>
      <c r="F106" s="115">
        <f t="shared" ref="F106:M106" ca="1" si="31">F96+F105</f>
        <v>-5000</v>
      </c>
      <c r="G106" s="115">
        <f t="shared" ca="1" si="31"/>
        <v>0</v>
      </c>
      <c r="H106" s="115">
        <f t="shared" ca="1" si="31"/>
        <v>1400000</v>
      </c>
      <c r="I106" s="115">
        <f t="shared" ca="1" si="31"/>
        <v>66000</v>
      </c>
      <c r="J106" s="115">
        <f t="shared" ca="1" si="31"/>
        <v>0</v>
      </c>
      <c r="K106" s="115">
        <f t="shared" ca="1" si="31"/>
        <v>1466000</v>
      </c>
      <c r="L106" s="115">
        <f t="shared" ca="1" si="31"/>
        <v>0</v>
      </c>
      <c r="M106" s="115">
        <f t="shared" ca="1" si="31"/>
        <v>1466000</v>
      </c>
    </row>
    <row r="107" spans="1:13" ht="15.75">
      <c r="A107" s="199" t="s">
        <v>181</v>
      </c>
      <c r="B107" s="202" t="s">
        <v>136</v>
      </c>
      <c r="C107" s="14" t="s">
        <v>292</v>
      </c>
      <c r="D107" s="100">
        <v>871</v>
      </c>
      <c r="E107" s="110">
        <v>0</v>
      </c>
      <c r="F107" s="110"/>
      <c r="G107" s="110"/>
      <c r="H107" s="114">
        <f t="shared" si="26"/>
        <v>0</v>
      </c>
      <c r="I107" s="110"/>
      <c r="J107" s="110"/>
      <c r="K107" s="114">
        <f t="shared" si="27"/>
        <v>0</v>
      </c>
      <c r="M107" s="114">
        <f t="shared" si="28"/>
        <v>0</v>
      </c>
    </row>
    <row r="108" spans="1:13" ht="31.5">
      <c r="A108" s="200"/>
      <c r="B108" s="203"/>
      <c r="C108" s="14" t="s">
        <v>285</v>
      </c>
      <c r="D108" s="100">
        <v>872</v>
      </c>
      <c r="E108" s="110">
        <v>0</v>
      </c>
      <c r="F108" s="110"/>
      <c r="G108" s="110"/>
      <c r="H108" s="114">
        <f t="shared" si="26"/>
        <v>0</v>
      </c>
      <c r="I108" s="110"/>
      <c r="J108" s="110"/>
      <c r="K108" s="114">
        <f t="shared" si="27"/>
        <v>0</v>
      </c>
      <c r="M108" s="114">
        <f t="shared" si="28"/>
        <v>0</v>
      </c>
    </row>
    <row r="109" spans="1:13" ht="31.5">
      <c r="A109" s="200"/>
      <c r="B109" s="203"/>
      <c r="C109" s="14" t="s">
        <v>293</v>
      </c>
      <c r="D109" s="100">
        <v>873</v>
      </c>
      <c r="E109" s="110">
        <v>0</v>
      </c>
      <c r="F109" s="110"/>
      <c r="G109" s="110"/>
      <c r="H109" s="114">
        <f t="shared" si="26"/>
        <v>0</v>
      </c>
      <c r="I109" s="110"/>
      <c r="J109" s="110"/>
      <c r="K109" s="114">
        <f t="shared" si="27"/>
        <v>0</v>
      </c>
      <c r="M109" s="114">
        <f t="shared" si="28"/>
        <v>0</v>
      </c>
    </row>
    <row r="110" spans="1:13" ht="15.75">
      <c r="A110" s="200"/>
      <c r="B110" s="203"/>
      <c r="C110" s="14" t="s">
        <v>294</v>
      </c>
      <c r="D110" s="100">
        <v>874</v>
      </c>
      <c r="E110" s="110">
        <v>3093000</v>
      </c>
      <c r="F110" s="110"/>
      <c r="G110" s="110">
        <v>1000</v>
      </c>
      <c r="H110" s="114">
        <f t="shared" si="26"/>
        <v>3094000</v>
      </c>
      <c r="I110" s="110">
        <v>161000</v>
      </c>
      <c r="J110" s="110"/>
      <c r="K110" s="114">
        <f t="shared" si="27"/>
        <v>3255000</v>
      </c>
      <c r="M110" s="114">
        <f t="shared" si="28"/>
        <v>3255000</v>
      </c>
    </row>
    <row r="111" spans="1:13" ht="31.5">
      <c r="A111" s="200"/>
      <c r="B111" s="203"/>
      <c r="C111" s="14" t="s">
        <v>295</v>
      </c>
      <c r="D111" s="100">
        <v>875</v>
      </c>
      <c r="E111" s="110">
        <v>96000</v>
      </c>
      <c r="F111" s="110"/>
      <c r="G111" s="110"/>
      <c r="H111" s="114">
        <f t="shared" si="26"/>
        <v>96000</v>
      </c>
      <c r="I111" s="110">
        <v>6000</v>
      </c>
      <c r="J111" s="110"/>
      <c r="K111" s="114">
        <f t="shared" si="27"/>
        <v>102000</v>
      </c>
      <c r="M111" s="114">
        <f t="shared" si="28"/>
        <v>102000</v>
      </c>
    </row>
    <row r="112" spans="1:13" ht="31.5">
      <c r="A112" s="200"/>
      <c r="B112" s="203"/>
      <c r="C112" s="14" t="s">
        <v>296</v>
      </c>
      <c r="D112" s="100">
        <v>876</v>
      </c>
      <c r="E112" s="110">
        <v>13000</v>
      </c>
      <c r="F112" s="110"/>
      <c r="G112" s="110"/>
      <c r="H112" s="114">
        <f t="shared" si="26"/>
        <v>13000</v>
      </c>
      <c r="I112" s="110">
        <v>0</v>
      </c>
      <c r="J112" s="110"/>
      <c r="K112" s="114">
        <f t="shared" si="27"/>
        <v>13000</v>
      </c>
      <c r="M112" s="114">
        <f t="shared" si="28"/>
        <v>13000</v>
      </c>
    </row>
    <row r="113" spans="1:13" ht="47.25">
      <c r="A113" s="200"/>
      <c r="B113" s="203"/>
      <c r="C113" s="14" t="s">
        <v>297</v>
      </c>
      <c r="D113" s="100">
        <v>877</v>
      </c>
      <c r="E113" s="110">
        <v>62000</v>
      </c>
      <c r="F113" s="110"/>
      <c r="G113" s="110"/>
      <c r="H113" s="114">
        <f t="shared" si="26"/>
        <v>62000</v>
      </c>
      <c r="I113" s="110">
        <v>4000</v>
      </c>
      <c r="J113" s="110"/>
      <c r="K113" s="114">
        <f t="shared" si="27"/>
        <v>66000</v>
      </c>
      <c r="M113" s="114">
        <f t="shared" si="28"/>
        <v>66000</v>
      </c>
    </row>
    <row r="114" spans="1:13" ht="31.5">
      <c r="A114" s="200"/>
      <c r="B114" s="203"/>
      <c r="C114" s="14" t="s">
        <v>298</v>
      </c>
      <c r="D114" s="100">
        <v>878</v>
      </c>
      <c r="E114" s="110">
        <v>324000</v>
      </c>
      <c r="F114" s="110"/>
      <c r="G114" s="110"/>
      <c r="H114" s="114">
        <f t="shared" si="26"/>
        <v>324000</v>
      </c>
      <c r="I114" s="110">
        <v>9000</v>
      </c>
      <c r="J114" s="110"/>
      <c r="K114" s="114">
        <f t="shared" si="27"/>
        <v>333000</v>
      </c>
      <c r="M114" s="114">
        <f t="shared" si="28"/>
        <v>333000</v>
      </c>
    </row>
    <row r="115" spans="1:13" ht="15.75">
      <c r="A115" s="200"/>
      <c r="B115" s="203"/>
      <c r="C115" s="14" t="s">
        <v>299</v>
      </c>
      <c r="D115" s="100">
        <v>879</v>
      </c>
      <c r="E115" s="110">
        <v>1426000</v>
      </c>
      <c r="F115" s="110"/>
      <c r="G115" s="110"/>
      <c r="H115" s="114">
        <f t="shared" si="26"/>
        <v>1426000</v>
      </c>
      <c r="I115" s="110">
        <v>97000</v>
      </c>
      <c r="J115" s="110"/>
      <c r="K115" s="114">
        <f t="shared" si="27"/>
        <v>1523000</v>
      </c>
      <c r="M115" s="114">
        <f t="shared" si="28"/>
        <v>1523000</v>
      </c>
    </row>
    <row r="116" spans="1:13" ht="15.75">
      <c r="A116" s="200"/>
      <c r="B116" s="203"/>
      <c r="C116" s="14" t="s">
        <v>262</v>
      </c>
      <c r="D116" s="100">
        <v>880</v>
      </c>
      <c r="E116" s="110">
        <v>2095000</v>
      </c>
      <c r="F116" s="110">
        <v>-3000</v>
      </c>
      <c r="G116" s="110"/>
      <c r="H116" s="114">
        <f t="shared" si="26"/>
        <v>2092000</v>
      </c>
      <c r="I116" s="110">
        <f>127000-F116</f>
        <v>130000</v>
      </c>
      <c r="J116" s="110"/>
      <c r="K116" s="114">
        <f t="shared" si="27"/>
        <v>2222000</v>
      </c>
      <c r="M116" s="114">
        <f t="shared" si="28"/>
        <v>2222000</v>
      </c>
    </row>
    <row r="117" spans="1:13" ht="15.75">
      <c r="A117" s="200"/>
      <c r="B117" s="203"/>
      <c r="C117" s="14" t="s">
        <v>264</v>
      </c>
      <c r="D117" s="100">
        <v>881</v>
      </c>
      <c r="E117" s="110">
        <v>31000</v>
      </c>
      <c r="F117" s="110"/>
      <c r="G117" s="110"/>
      <c r="H117" s="114">
        <f t="shared" si="26"/>
        <v>31000</v>
      </c>
      <c r="I117" s="110">
        <v>1000</v>
      </c>
      <c r="J117" s="110"/>
      <c r="K117" s="114">
        <f t="shared" si="27"/>
        <v>32000</v>
      </c>
      <c r="M117" s="114">
        <f t="shared" si="28"/>
        <v>32000</v>
      </c>
    </row>
    <row r="118" spans="1:13" ht="15.75">
      <c r="A118" s="200"/>
      <c r="B118" s="204"/>
      <c r="C118" s="205" t="s">
        <v>137</v>
      </c>
      <c r="D118" s="206"/>
      <c r="E118" s="112">
        <f>SUM(E107:E117)</f>
        <v>7140000</v>
      </c>
      <c r="F118" s="112">
        <f t="shared" ref="F118:M118" si="32">SUM(F107:F117)</f>
        <v>-3000</v>
      </c>
      <c r="G118" s="112">
        <f t="shared" si="32"/>
        <v>1000</v>
      </c>
      <c r="H118" s="112">
        <f t="shared" si="32"/>
        <v>7138000</v>
      </c>
      <c r="I118" s="112">
        <f t="shared" si="32"/>
        <v>408000</v>
      </c>
      <c r="J118" s="112">
        <f t="shared" si="32"/>
        <v>0</v>
      </c>
      <c r="K118" s="112">
        <f t="shared" si="32"/>
        <v>7546000</v>
      </c>
      <c r="L118" s="112">
        <f t="shared" si="32"/>
        <v>0</v>
      </c>
      <c r="M118" s="112">
        <f t="shared" si="32"/>
        <v>7546000</v>
      </c>
    </row>
    <row r="119" spans="1:13" ht="31.5">
      <c r="A119" s="200"/>
      <c r="B119" s="207" t="s">
        <v>138</v>
      </c>
      <c r="C119" s="11" t="s">
        <v>266</v>
      </c>
      <c r="D119" s="98">
        <v>885</v>
      </c>
      <c r="E119" s="110">
        <v>95000</v>
      </c>
      <c r="F119" s="110"/>
      <c r="G119" s="110"/>
      <c r="H119" s="114">
        <f t="shared" si="26"/>
        <v>95000</v>
      </c>
      <c r="I119" s="110">
        <v>7000</v>
      </c>
      <c r="J119" s="110"/>
      <c r="K119" s="114">
        <f t="shared" si="27"/>
        <v>102000</v>
      </c>
      <c r="M119" s="114">
        <f t="shared" si="28"/>
        <v>102000</v>
      </c>
    </row>
    <row r="120" spans="1:13" ht="31.5">
      <c r="A120" s="200"/>
      <c r="B120" s="208"/>
      <c r="C120" s="11" t="s">
        <v>267</v>
      </c>
      <c r="D120" s="98">
        <v>886</v>
      </c>
      <c r="E120" s="110">
        <v>0</v>
      </c>
      <c r="F120" s="110"/>
      <c r="G120" s="110"/>
      <c r="H120" s="114">
        <f t="shared" si="26"/>
        <v>0</v>
      </c>
      <c r="I120" s="110"/>
      <c r="J120" s="110"/>
      <c r="K120" s="114">
        <f t="shared" si="27"/>
        <v>0</v>
      </c>
      <c r="M120" s="114">
        <f t="shared" si="28"/>
        <v>0</v>
      </c>
    </row>
    <row r="121" spans="1:13" ht="15.75">
      <c r="A121" s="200"/>
      <c r="B121" s="208"/>
      <c r="C121" s="11" t="s">
        <v>290</v>
      </c>
      <c r="D121" s="98">
        <v>887</v>
      </c>
      <c r="E121" s="110">
        <v>785000</v>
      </c>
      <c r="F121" s="110"/>
      <c r="G121" s="110"/>
      <c r="H121" s="114">
        <f t="shared" si="26"/>
        <v>785000</v>
      </c>
      <c r="I121" s="110">
        <v>49000</v>
      </c>
      <c r="J121" s="110"/>
      <c r="K121" s="114">
        <f t="shared" si="27"/>
        <v>834000</v>
      </c>
      <c r="M121" s="114">
        <f t="shared" si="28"/>
        <v>834000</v>
      </c>
    </row>
    <row r="122" spans="1:13" ht="31.5">
      <c r="A122" s="200"/>
      <c r="B122" s="208"/>
      <c r="C122" s="11" t="s">
        <v>270</v>
      </c>
      <c r="D122" s="98">
        <v>888</v>
      </c>
      <c r="E122" s="110">
        <v>0</v>
      </c>
      <c r="F122" s="110"/>
      <c r="G122" s="110"/>
      <c r="H122" s="114">
        <f t="shared" si="26"/>
        <v>0</v>
      </c>
      <c r="I122" s="110"/>
      <c r="J122" s="110"/>
      <c r="K122" s="114">
        <f t="shared" si="27"/>
        <v>0</v>
      </c>
      <c r="M122" s="114">
        <f t="shared" si="28"/>
        <v>0</v>
      </c>
    </row>
    <row r="123" spans="1:13" ht="47.25">
      <c r="A123" s="200"/>
      <c r="B123" s="208"/>
      <c r="C123" s="11" t="s">
        <v>300</v>
      </c>
      <c r="D123" s="98">
        <v>889</v>
      </c>
      <c r="E123" s="110">
        <v>211000</v>
      </c>
      <c r="F123" s="110"/>
      <c r="G123" s="110"/>
      <c r="H123" s="114">
        <f t="shared" si="26"/>
        <v>211000</v>
      </c>
      <c r="I123" s="110">
        <v>11000</v>
      </c>
      <c r="J123" s="110"/>
      <c r="K123" s="114">
        <f t="shared" si="27"/>
        <v>222000</v>
      </c>
      <c r="M123" s="114">
        <f t="shared" si="28"/>
        <v>222000</v>
      </c>
    </row>
    <row r="124" spans="1:13" ht="47.25">
      <c r="A124" s="200"/>
      <c r="B124" s="208"/>
      <c r="C124" s="11" t="s">
        <v>301</v>
      </c>
      <c r="D124" s="98">
        <v>890</v>
      </c>
      <c r="E124" s="110">
        <v>55000</v>
      </c>
      <c r="F124" s="110"/>
      <c r="G124" s="110"/>
      <c r="H124" s="114">
        <f t="shared" si="26"/>
        <v>55000</v>
      </c>
      <c r="I124" s="110">
        <v>2000</v>
      </c>
      <c r="J124" s="110"/>
      <c r="K124" s="114">
        <f t="shared" si="27"/>
        <v>57000</v>
      </c>
      <c r="M124" s="114">
        <f t="shared" si="28"/>
        <v>57000</v>
      </c>
    </row>
    <row r="125" spans="1:13" ht="47.25">
      <c r="A125" s="200"/>
      <c r="B125" s="208"/>
      <c r="C125" s="11" t="s">
        <v>302</v>
      </c>
      <c r="D125" s="98">
        <v>891</v>
      </c>
      <c r="E125" s="110">
        <v>38000</v>
      </c>
      <c r="F125" s="110"/>
      <c r="G125" s="110"/>
      <c r="H125" s="114">
        <f t="shared" si="26"/>
        <v>38000</v>
      </c>
      <c r="I125" s="110">
        <v>2000</v>
      </c>
      <c r="J125" s="110"/>
      <c r="K125" s="114">
        <f t="shared" si="27"/>
        <v>40000</v>
      </c>
      <c r="M125" s="114">
        <f t="shared" si="28"/>
        <v>40000</v>
      </c>
    </row>
    <row r="126" spans="1:13" ht="15.75">
      <c r="A126" s="200"/>
      <c r="B126" s="208"/>
      <c r="C126" s="11" t="s">
        <v>303</v>
      </c>
      <c r="D126" s="98">
        <v>892</v>
      </c>
      <c r="E126" s="110">
        <v>1087000</v>
      </c>
      <c r="F126" s="110"/>
      <c r="G126" s="110">
        <v>-1000</v>
      </c>
      <c r="H126" s="114">
        <f t="shared" si="26"/>
        <v>1086000</v>
      </c>
      <c r="I126" s="110">
        <v>58000</v>
      </c>
      <c r="J126" s="110"/>
      <c r="K126" s="114">
        <f t="shared" si="27"/>
        <v>1144000</v>
      </c>
      <c r="M126" s="114">
        <f t="shared" si="28"/>
        <v>1144000</v>
      </c>
    </row>
    <row r="127" spans="1:13" ht="31.5">
      <c r="A127" s="200"/>
      <c r="B127" s="208"/>
      <c r="C127" s="11" t="s">
        <v>304</v>
      </c>
      <c r="D127" s="98">
        <v>893</v>
      </c>
      <c r="E127" s="110">
        <v>1332000</v>
      </c>
      <c r="F127" s="110"/>
      <c r="G127" s="110"/>
      <c r="H127" s="114">
        <f t="shared" si="26"/>
        <v>1332000</v>
      </c>
      <c r="I127" s="110">
        <v>79000</v>
      </c>
      <c r="J127" s="110"/>
      <c r="K127" s="114">
        <f t="shared" si="27"/>
        <v>1411000</v>
      </c>
      <c r="M127" s="114">
        <f t="shared" si="28"/>
        <v>1411000</v>
      </c>
    </row>
    <row r="128" spans="1:13" ht="15.75">
      <c r="A128" s="200"/>
      <c r="B128" s="208"/>
      <c r="C128" s="11" t="s">
        <v>273</v>
      </c>
      <c r="D128" s="98">
        <v>894</v>
      </c>
      <c r="E128" s="110">
        <v>168000</v>
      </c>
      <c r="F128" s="110"/>
      <c r="G128" s="110"/>
      <c r="H128" s="114">
        <f t="shared" si="26"/>
        <v>168000</v>
      </c>
      <c r="I128" s="110">
        <v>8000</v>
      </c>
      <c r="J128" s="110"/>
      <c r="K128" s="114">
        <f t="shared" si="27"/>
        <v>176000</v>
      </c>
      <c r="M128" s="114">
        <f t="shared" si="28"/>
        <v>176000</v>
      </c>
    </row>
    <row r="129" spans="1:13" ht="15.75">
      <c r="A129" s="200"/>
      <c r="B129" s="209"/>
      <c r="C129" s="210" t="s">
        <v>139</v>
      </c>
      <c r="D129" s="206"/>
      <c r="E129" s="112">
        <f>SUM(E119:E128)</f>
        <v>3771000</v>
      </c>
      <c r="F129" s="112">
        <f t="shared" ref="F129:M129" si="33">SUM(F119:F128)</f>
        <v>0</v>
      </c>
      <c r="G129" s="112">
        <f t="shared" si="33"/>
        <v>-1000</v>
      </c>
      <c r="H129" s="112">
        <f t="shared" si="33"/>
        <v>3770000</v>
      </c>
      <c r="I129" s="112">
        <f t="shared" si="33"/>
        <v>216000</v>
      </c>
      <c r="J129" s="112">
        <f t="shared" si="33"/>
        <v>0</v>
      </c>
      <c r="K129" s="112">
        <f t="shared" si="33"/>
        <v>3986000</v>
      </c>
      <c r="L129" s="112">
        <f t="shared" si="33"/>
        <v>0</v>
      </c>
      <c r="M129" s="112">
        <f t="shared" si="33"/>
        <v>3986000</v>
      </c>
    </row>
    <row r="130" spans="1:13" ht="15.75">
      <c r="A130" s="201"/>
      <c r="B130" s="187" t="s">
        <v>181</v>
      </c>
      <c r="C130" s="188"/>
      <c r="D130" s="189"/>
      <c r="E130" s="115">
        <f>E118+E129</f>
        <v>10911000</v>
      </c>
      <c r="F130" s="115">
        <f t="shared" ref="F130:M130" si="34">F118+F129</f>
        <v>-3000</v>
      </c>
      <c r="G130" s="115">
        <f t="shared" si="34"/>
        <v>0</v>
      </c>
      <c r="H130" s="115">
        <f t="shared" si="34"/>
        <v>10908000</v>
      </c>
      <c r="I130" s="115">
        <f t="shared" si="34"/>
        <v>624000</v>
      </c>
      <c r="J130" s="115">
        <f t="shared" si="34"/>
        <v>0</v>
      </c>
      <c r="K130" s="115">
        <f t="shared" si="34"/>
        <v>11532000</v>
      </c>
      <c r="L130" s="115">
        <f t="shared" si="34"/>
        <v>0</v>
      </c>
      <c r="M130" s="115">
        <f t="shared" si="34"/>
        <v>11532000</v>
      </c>
    </row>
    <row r="131" spans="1:13" ht="15.75">
      <c r="A131" s="193" t="s">
        <v>182</v>
      </c>
      <c r="B131" s="175" t="s">
        <v>197</v>
      </c>
      <c r="C131" s="176"/>
      <c r="D131" s="101" t="s">
        <v>4</v>
      </c>
      <c r="E131" s="110">
        <v>7234000</v>
      </c>
      <c r="F131" s="110">
        <v>-267000</v>
      </c>
      <c r="G131" s="110"/>
      <c r="H131" s="114">
        <f t="shared" si="26"/>
        <v>6967000</v>
      </c>
      <c r="I131" s="110">
        <f>-137000-F131</f>
        <v>130000</v>
      </c>
      <c r="J131" s="110"/>
      <c r="K131" s="114">
        <f t="shared" si="27"/>
        <v>7097000</v>
      </c>
      <c r="L131" s="110">
        <v>49000</v>
      </c>
      <c r="M131" s="114">
        <f t="shared" si="28"/>
        <v>7146000</v>
      </c>
    </row>
    <row r="132" spans="1:13" ht="15.75">
      <c r="A132" s="193"/>
      <c r="B132" s="187" t="s">
        <v>182</v>
      </c>
      <c r="C132" s="188"/>
      <c r="D132" s="189"/>
      <c r="E132" s="115">
        <f>E131</f>
        <v>7234000</v>
      </c>
      <c r="F132" s="115">
        <f t="shared" ref="F132:M132" si="35">F131</f>
        <v>-267000</v>
      </c>
      <c r="G132" s="115">
        <f t="shared" si="35"/>
        <v>0</v>
      </c>
      <c r="H132" s="115">
        <f t="shared" si="35"/>
        <v>6967000</v>
      </c>
      <c r="I132" s="115">
        <f t="shared" si="35"/>
        <v>130000</v>
      </c>
      <c r="J132" s="115">
        <f t="shared" si="35"/>
        <v>0</v>
      </c>
      <c r="K132" s="115">
        <f t="shared" si="35"/>
        <v>7097000</v>
      </c>
      <c r="L132" s="115">
        <f t="shared" si="35"/>
        <v>49000</v>
      </c>
      <c r="M132" s="115">
        <f t="shared" si="35"/>
        <v>7146000</v>
      </c>
    </row>
    <row r="133" spans="1:13" ht="15.75">
      <c r="A133" s="193" t="s">
        <v>184</v>
      </c>
      <c r="B133" s="196" t="s">
        <v>305</v>
      </c>
      <c r="C133" s="164"/>
      <c r="D133" s="22" t="s">
        <v>5</v>
      </c>
      <c r="E133" s="110">
        <v>8093000</v>
      </c>
      <c r="F133" s="110">
        <v>-6861000</v>
      </c>
      <c r="G133" s="110"/>
      <c r="H133" s="114">
        <f t="shared" si="26"/>
        <v>1232000</v>
      </c>
      <c r="I133" s="110">
        <f>-6834000-F133</f>
        <v>27000</v>
      </c>
      <c r="J133" s="110"/>
      <c r="K133" s="114">
        <f t="shared" si="27"/>
        <v>1259000</v>
      </c>
      <c r="M133" s="114">
        <f t="shared" si="28"/>
        <v>1259000</v>
      </c>
    </row>
    <row r="134" spans="1:13" ht="15.75">
      <c r="A134" s="193"/>
      <c r="B134" s="187" t="s">
        <v>184</v>
      </c>
      <c r="C134" s="188"/>
      <c r="D134" s="189"/>
      <c r="E134" s="115">
        <f>E133</f>
        <v>8093000</v>
      </c>
      <c r="F134" s="115">
        <f t="shared" ref="F134:M134" si="36">F133</f>
        <v>-6861000</v>
      </c>
      <c r="G134" s="115">
        <f t="shared" si="36"/>
        <v>0</v>
      </c>
      <c r="H134" s="115">
        <f t="shared" si="36"/>
        <v>1232000</v>
      </c>
      <c r="I134" s="115">
        <f t="shared" si="36"/>
        <v>27000</v>
      </c>
      <c r="J134" s="115">
        <f t="shared" si="36"/>
        <v>0</v>
      </c>
      <c r="K134" s="115">
        <f t="shared" si="36"/>
        <v>1259000</v>
      </c>
      <c r="L134" s="115">
        <f t="shared" si="36"/>
        <v>0</v>
      </c>
      <c r="M134" s="115">
        <f t="shared" si="36"/>
        <v>1259000</v>
      </c>
    </row>
    <row r="135" spans="1:13" ht="47.25">
      <c r="A135" s="161" t="s">
        <v>6</v>
      </c>
      <c r="B135" s="175" t="s">
        <v>306</v>
      </c>
      <c r="C135" s="176"/>
      <c r="D135" s="117" t="s">
        <v>7</v>
      </c>
      <c r="E135" s="110">
        <v>15045000</v>
      </c>
      <c r="F135" s="110">
        <v>-433000</v>
      </c>
      <c r="G135" s="110"/>
      <c r="H135" s="114">
        <f t="shared" si="26"/>
        <v>14612000</v>
      </c>
      <c r="I135" s="110">
        <f>586000-F135</f>
        <v>1019000</v>
      </c>
      <c r="J135" s="110"/>
      <c r="K135" s="114">
        <f t="shared" si="27"/>
        <v>15631000</v>
      </c>
      <c r="L135" s="110">
        <v>26000</v>
      </c>
      <c r="M135" s="114">
        <f t="shared" si="28"/>
        <v>15657000</v>
      </c>
    </row>
    <row r="136" spans="1:13" ht="15.75">
      <c r="A136" s="163"/>
      <c r="B136" s="190" t="s">
        <v>140</v>
      </c>
      <c r="C136" s="191"/>
      <c r="D136" s="192"/>
      <c r="E136" s="112">
        <f>E135</f>
        <v>15045000</v>
      </c>
      <c r="F136" s="112">
        <f t="shared" ref="F136:M136" si="37">F135</f>
        <v>-433000</v>
      </c>
      <c r="G136" s="112">
        <f t="shared" si="37"/>
        <v>0</v>
      </c>
      <c r="H136" s="112">
        <f t="shared" si="37"/>
        <v>14612000</v>
      </c>
      <c r="I136" s="112">
        <f t="shared" si="37"/>
        <v>1019000</v>
      </c>
      <c r="J136" s="112">
        <f t="shared" si="37"/>
        <v>0</v>
      </c>
      <c r="K136" s="112">
        <f t="shared" si="37"/>
        <v>15631000</v>
      </c>
      <c r="L136" s="112">
        <f t="shared" si="37"/>
        <v>26000</v>
      </c>
      <c r="M136" s="112">
        <f t="shared" si="37"/>
        <v>15657000</v>
      </c>
    </row>
    <row r="137" spans="1:13" ht="15.75">
      <c r="A137" s="157" t="s">
        <v>183</v>
      </c>
      <c r="B137" s="157"/>
      <c r="C137" s="157"/>
      <c r="D137" s="158"/>
      <c r="E137" s="115">
        <f>E136</f>
        <v>15045000</v>
      </c>
      <c r="F137" s="115">
        <f t="shared" ref="F137:M137" si="38">F136</f>
        <v>-433000</v>
      </c>
      <c r="G137" s="115">
        <f t="shared" si="38"/>
        <v>0</v>
      </c>
      <c r="H137" s="115">
        <f t="shared" si="38"/>
        <v>14612000</v>
      </c>
      <c r="I137" s="115">
        <f t="shared" si="38"/>
        <v>1019000</v>
      </c>
      <c r="J137" s="115">
        <f t="shared" si="38"/>
        <v>0</v>
      </c>
      <c r="K137" s="115">
        <f t="shared" si="38"/>
        <v>15631000</v>
      </c>
      <c r="L137" s="115">
        <f t="shared" si="38"/>
        <v>26000</v>
      </c>
      <c r="M137" s="115">
        <f t="shared" si="38"/>
        <v>15657000</v>
      </c>
    </row>
    <row r="138" spans="1:13" ht="15.75">
      <c r="A138" s="193" t="s">
        <v>8</v>
      </c>
      <c r="B138" s="194" t="s">
        <v>141</v>
      </c>
      <c r="C138" s="195"/>
      <c r="D138" s="102" t="s">
        <v>9</v>
      </c>
      <c r="E138" s="110">
        <v>0</v>
      </c>
      <c r="F138" s="110"/>
      <c r="G138" s="110"/>
      <c r="H138" s="114">
        <f t="shared" si="26"/>
        <v>0</v>
      </c>
      <c r="I138" s="110"/>
      <c r="J138" s="110"/>
      <c r="K138" s="114">
        <f t="shared" si="27"/>
        <v>0</v>
      </c>
      <c r="M138" s="114">
        <f t="shared" si="28"/>
        <v>0</v>
      </c>
    </row>
    <row r="139" spans="1:13" ht="15.75">
      <c r="A139" s="193"/>
      <c r="B139" s="194" t="s">
        <v>142</v>
      </c>
      <c r="C139" s="195"/>
      <c r="D139" s="102" t="s">
        <v>9</v>
      </c>
      <c r="E139" s="110">
        <v>0</v>
      </c>
      <c r="F139" s="110"/>
      <c r="G139" s="110"/>
      <c r="H139" s="114">
        <f t="shared" si="26"/>
        <v>0</v>
      </c>
      <c r="I139" s="110"/>
      <c r="J139" s="110"/>
      <c r="K139" s="114">
        <f t="shared" si="27"/>
        <v>0</v>
      </c>
      <c r="M139" s="114">
        <f t="shared" si="28"/>
        <v>0</v>
      </c>
    </row>
    <row r="140" spans="1:13" ht="15.75">
      <c r="A140" s="193"/>
      <c r="B140" s="194" t="s">
        <v>143</v>
      </c>
      <c r="C140" s="195"/>
      <c r="D140" s="102" t="s">
        <v>9</v>
      </c>
      <c r="E140" s="110">
        <v>627000</v>
      </c>
      <c r="F140" s="110">
        <v>43000</v>
      </c>
      <c r="G140" s="110"/>
      <c r="H140" s="114">
        <f t="shared" si="26"/>
        <v>670000</v>
      </c>
      <c r="I140" s="110">
        <f>-201000-F140</f>
        <v>-244000</v>
      </c>
      <c r="J140" s="110"/>
      <c r="K140" s="114">
        <f t="shared" si="27"/>
        <v>426000</v>
      </c>
      <c r="M140" s="114">
        <f t="shared" si="28"/>
        <v>426000</v>
      </c>
    </row>
    <row r="141" spans="1:13" ht="15.75">
      <c r="A141" s="193"/>
      <c r="B141" s="194" t="s">
        <v>10</v>
      </c>
      <c r="C141" s="195"/>
      <c r="D141" s="102" t="s">
        <v>9</v>
      </c>
      <c r="E141" s="110">
        <v>0</v>
      </c>
      <c r="F141" s="110"/>
      <c r="G141" s="110"/>
      <c r="H141" s="114">
        <f t="shared" si="26"/>
        <v>0</v>
      </c>
      <c r="I141" s="110"/>
      <c r="J141" s="110"/>
      <c r="K141" s="114">
        <f t="shared" si="27"/>
        <v>0</v>
      </c>
      <c r="M141" s="114">
        <f t="shared" si="28"/>
        <v>0</v>
      </c>
    </row>
    <row r="142" spans="1:13" ht="15.75">
      <c r="A142" s="193"/>
      <c r="B142" s="194" t="s">
        <v>11</v>
      </c>
      <c r="C142" s="195"/>
      <c r="D142" s="102" t="s">
        <v>9</v>
      </c>
      <c r="E142" s="110">
        <v>11642000</v>
      </c>
      <c r="F142" s="110">
        <v>567000</v>
      </c>
      <c r="G142" s="110">
        <v>2000</v>
      </c>
      <c r="H142" s="114">
        <f t="shared" si="26"/>
        <v>12211000</v>
      </c>
      <c r="I142" s="110">
        <f>183000-F142</f>
        <v>-384000</v>
      </c>
      <c r="J142" s="110"/>
      <c r="K142" s="114">
        <f t="shared" si="27"/>
        <v>11827000</v>
      </c>
      <c r="M142" s="114">
        <f t="shared" si="28"/>
        <v>11827000</v>
      </c>
    </row>
    <row r="143" spans="1:13" ht="15.75">
      <c r="A143" s="193"/>
      <c r="B143" s="194" t="s">
        <v>12</v>
      </c>
      <c r="C143" s="195"/>
      <c r="D143" s="102" t="s">
        <v>9</v>
      </c>
      <c r="E143" s="110">
        <v>4124000</v>
      </c>
      <c r="F143" s="110">
        <v>729000</v>
      </c>
      <c r="G143" s="110"/>
      <c r="H143" s="114">
        <f t="shared" si="26"/>
        <v>4853000</v>
      </c>
      <c r="I143" s="110">
        <f>1460000-F143</f>
        <v>731000</v>
      </c>
      <c r="J143" s="110"/>
      <c r="K143" s="114">
        <f t="shared" si="27"/>
        <v>5584000</v>
      </c>
      <c r="M143" s="114">
        <f t="shared" si="28"/>
        <v>5584000</v>
      </c>
    </row>
    <row r="144" spans="1:13" ht="15.75">
      <c r="A144" s="193"/>
      <c r="B144" s="194" t="s">
        <v>13</v>
      </c>
      <c r="C144" s="195"/>
      <c r="D144" s="102" t="s">
        <v>9</v>
      </c>
      <c r="E144" s="110">
        <v>0</v>
      </c>
      <c r="F144" s="110"/>
      <c r="G144" s="110"/>
      <c r="H144" s="114">
        <f t="shared" si="26"/>
        <v>0</v>
      </c>
      <c r="I144" s="110"/>
      <c r="J144" s="110"/>
      <c r="K144" s="114">
        <f t="shared" si="27"/>
        <v>0</v>
      </c>
      <c r="M144" s="114">
        <f t="shared" si="28"/>
        <v>0</v>
      </c>
    </row>
    <row r="145" spans="1:13" ht="15.75">
      <c r="A145" s="193"/>
      <c r="B145" s="157" t="s">
        <v>14</v>
      </c>
      <c r="C145" s="157"/>
      <c r="D145" s="157"/>
      <c r="E145" s="115">
        <f>SUM(E138:E144)</f>
        <v>16393000</v>
      </c>
      <c r="F145" s="115">
        <f t="shared" ref="F145:M145" si="39">SUM(F138:F144)</f>
        <v>1339000</v>
      </c>
      <c r="G145" s="115">
        <f t="shared" si="39"/>
        <v>2000</v>
      </c>
      <c r="H145" s="115">
        <f t="shared" si="39"/>
        <v>17734000</v>
      </c>
      <c r="I145" s="115">
        <f t="shared" si="39"/>
        <v>103000</v>
      </c>
      <c r="J145" s="115">
        <f t="shared" si="39"/>
        <v>0</v>
      </c>
      <c r="K145" s="115">
        <f t="shared" si="39"/>
        <v>17837000</v>
      </c>
      <c r="L145" s="115">
        <f t="shared" si="39"/>
        <v>0</v>
      </c>
      <c r="M145" s="115">
        <f t="shared" si="39"/>
        <v>17837000</v>
      </c>
    </row>
    <row r="146" spans="1:13" ht="15.75">
      <c r="A146" s="161" t="s">
        <v>196</v>
      </c>
      <c r="B146" s="164" t="s">
        <v>15</v>
      </c>
      <c r="C146" s="164"/>
      <c r="D146" s="12" t="s">
        <v>16</v>
      </c>
      <c r="E146" s="110">
        <v>4368000</v>
      </c>
      <c r="F146" s="110">
        <v>232000</v>
      </c>
      <c r="G146" s="110"/>
      <c r="H146" s="114">
        <f t="shared" si="26"/>
        <v>4600000</v>
      </c>
      <c r="I146" s="110">
        <f>232000-F146</f>
        <v>0</v>
      </c>
      <c r="J146" s="110"/>
      <c r="K146" s="114">
        <f t="shared" si="27"/>
        <v>4600000</v>
      </c>
      <c r="M146" s="114">
        <f t="shared" si="28"/>
        <v>4600000</v>
      </c>
    </row>
    <row r="147" spans="1:13" ht="15.75">
      <c r="A147" s="162"/>
      <c r="B147" s="233" t="s">
        <v>144</v>
      </c>
      <c r="C147" s="175"/>
      <c r="D147" s="12">
        <v>404.1</v>
      </c>
      <c r="E147" s="110">
        <v>0</v>
      </c>
      <c r="F147" s="110"/>
      <c r="G147" s="110"/>
      <c r="H147" s="114">
        <f t="shared" si="26"/>
        <v>0</v>
      </c>
      <c r="I147" s="110"/>
      <c r="J147" s="110"/>
      <c r="K147" s="114">
        <f t="shared" si="27"/>
        <v>0</v>
      </c>
      <c r="M147" s="114">
        <f t="shared" si="28"/>
        <v>0</v>
      </c>
    </row>
    <row r="148" spans="1:13" ht="15.75">
      <c r="A148" s="162"/>
      <c r="B148" s="233" t="s">
        <v>212</v>
      </c>
      <c r="C148" s="175"/>
      <c r="D148" s="12">
        <v>404.2</v>
      </c>
      <c r="E148" s="110">
        <v>0</v>
      </c>
      <c r="F148" s="110"/>
      <c r="G148" s="110"/>
      <c r="H148" s="114">
        <f t="shared" si="26"/>
        <v>0</v>
      </c>
      <c r="I148" s="110"/>
      <c r="J148" s="110"/>
      <c r="K148" s="114">
        <f t="shared" si="27"/>
        <v>0</v>
      </c>
      <c r="M148" s="114">
        <f t="shared" si="28"/>
        <v>0</v>
      </c>
    </row>
    <row r="149" spans="1:13" ht="15.75">
      <c r="A149" s="162"/>
      <c r="B149" s="233" t="s">
        <v>213</v>
      </c>
      <c r="C149" s="175"/>
      <c r="D149" s="12">
        <v>404.3</v>
      </c>
      <c r="E149" s="110">
        <v>0</v>
      </c>
      <c r="F149" s="110"/>
      <c r="G149" s="110"/>
      <c r="H149" s="114">
        <f t="shared" ref="H149:H212" si="40">SUM(E149:G149)</f>
        <v>0</v>
      </c>
      <c r="I149" s="110"/>
      <c r="J149" s="110"/>
      <c r="K149" s="114">
        <f t="shared" ref="K149:K212" si="41">SUM(H149:J149)</f>
        <v>0</v>
      </c>
      <c r="M149" s="114">
        <f t="shared" ref="M149:M212" si="42">SUM(K149:L149)</f>
        <v>0</v>
      </c>
    </row>
    <row r="150" spans="1:13" ht="15.75">
      <c r="A150" s="162"/>
      <c r="B150" s="233" t="s">
        <v>214</v>
      </c>
      <c r="C150" s="175"/>
      <c r="D150" s="12">
        <v>405</v>
      </c>
      <c r="E150" s="110">
        <v>0</v>
      </c>
      <c r="F150" s="110"/>
      <c r="G150" s="110"/>
      <c r="H150" s="114">
        <f t="shared" si="40"/>
        <v>0</v>
      </c>
      <c r="I150" s="110"/>
      <c r="J150" s="110"/>
      <c r="K150" s="114">
        <f t="shared" si="41"/>
        <v>0</v>
      </c>
      <c r="M150" s="114">
        <f t="shared" si="42"/>
        <v>0</v>
      </c>
    </row>
    <row r="151" spans="1:13" ht="15.75">
      <c r="A151" s="162"/>
      <c r="B151" s="233" t="s">
        <v>215</v>
      </c>
      <c r="C151" s="175"/>
      <c r="D151" s="12">
        <v>406</v>
      </c>
      <c r="E151" s="110">
        <v>0</v>
      </c>
      <c r="F151" s="110"/>
      <c r="G151" s="110"/>
      <c r="H151" s="114">
        <f t="shared" si="40"/>
        <v>0</v>
      </c>
      <c r="I151" s="110"/>
      <c r="J151" s="110"/>
      <c r="K151" s="114">
        <f t="shared" si="41"/>
        <v>0</v>
      </c>
      <c r="M151" s="114">
        <f t="shared" si="42"/>
        <v>0</v>
      </c>
    </row>
    <row r="152" spans="1:13" ht="15.75">
      <c r="A152" s="162"/>
      <c r="B152" s="233" t="s">
        <v>145</v>
      </c>
      <c r="C152" s="175"/>
      <c r="D152" s="15">
        <v>407.1</v>
      </c>
      <c r="E152" s="110">
        <v>0</v>
      </c>
      <c r="F152" s="110"/>
      <c r="G152" s="110"/>
      <c r="H152" s="114">
        <f t="shared" si="40"/>
        <v>0</v>
      </c>
      <c r="I152" s="110"/>
      <c r="J152" s="110"/>
      <c r="K152" s="114">
        <f t="shared" si="41"/>
        <v>0</v>
      </c>
      <c r="M152" s="114">
        <f t="shared" si="42"/>
        <v>0</v>
      </c>
    </row>
    <row r="153" spans="1:13" ht="15.75">
      <c r="A153" s="162"/>
      <c r="B153" s="233" t="s">
        <v>216</v>
      </c>
      <c r="C153" s="175"/>
      <c r="D153" s="15">
        <v>407.2</v>
      </c>
      <c r="E153" s="110">
        <v>0</v>
      </c>
      <c r="F153" s="110"/>
      <c r="G153" s="110"/>
      <c r="H153" s="114">
        <f t="shared" si="40"/>
        <v>0</v>
      </c>
      <c r="I153" s="110"/>
      <c r="J153" s="110"/>
      <c r="K153" s="114">
        <f t="shared" si="41"/>
        <v>0</v>
      </c>
      <c r="M153" s="114">
        <f t="shared" si="42"/>
        <v>0</v>
      </c>
    </row>
    <row r="154" spans="1:13" ht="15.75">
      <c r="A154" s="234"/>
      <c r="B154" s="157" t="s">
        <v>17</v>
      </c>
      <c r="C154" s="157"/>
      <c r="D154" s="157"/>
      <c r="E154" s="115">
        <f>SUM(E146:E153)</f>
        <v>4368000</v>
      </c>
      <c r="F154" s="115">
        <f t="shared" ref="F154:M154" si="43">SUM(F146:F153)</f>
        <v>232000</v>
      </c>
      <c r="G154" s="115">
        <f t="shared" si="43"/>
        <v>0</v>
      </c>
      <c r="H154" s="115">
        <f t="shared" si="43"/>
        <v>4600000</v>
      </c>
      <c r="I154" s="115">
        <f t="shared" si="43"/>
        <v>0</v>
      </c>
      <c r="J154" s="115">
        <f t="shared" si="43"/>
        <v>0</v>
      </c>
      <c r="K154" s="115">
        <f t="shared" si="43"/>
        <v>4600000</v>
      </c>
      <c r="L154" s="115">
        <f t="shared" si="43"/>
        <v>0</v>
      </c>
      <c r="M154" s="115">
        <f t="shared" si="43"/>
        <v>4600000</v>
      </c>
    </row>
    <row r="155" spans="1:13" ht="31.5" customHeight="1">
      <c r="A155" s="161" t="s">
        <v>18</v>
      </c>
      <c r="B155" s="175" t="s">
        <v>18</v>
      </c>
      <c r="C155" s="176"/>
      <c r="D155" s="15" t="s">
        <v>20</v>
      </c>
      <c r="E155" s="110">
        <v>-1561000</v>
      </c>
      <c r="F155" s="110">
        <f>1083000-13000</f>
        <v>1070000</v>
      </c>
      <c r="G155" s="110"/>
      <c r="H155" s="114">
        <f t="shared" si="40"/>
        <v>-491000</v>
      </c>
      <c r="I155" s="110">
        <f>-13000+1083000+1745000+836000-F155</f>
        <v>2581000</v>
      </c>
      <c r="J155" s="110"/>
      <c r="K155" s="114">
        <f t="shared" si="41"/>
        <v>2090000</v>
      </c>
      <c r="M155" s="114">
        <f t="shared" si="42"/>
        <v>2090000</v>
      </c>
    </row>
    <row r="156" spans="1:13" ht="15.75">
      <c r="A156" s="234"/>
      <c r="B156" s="165" t="s">
        <v>21</v>
      </c>
      <c r="C156" s="157"/>
      <c r="D156" s="157"/>
      <c r="E156" s="115">
        <f>E155</f>
        <v>-1561000</v>
      </c>
      <c r="F156" s="115">
        <f t="shared" ref="F156:M156" si="44">F155</f>
        <v>1070000</v>
      </c>
      <c r="G156" s="115">
        <f t="shared" si="44"/>
        <v>0</v>
      </c>
      <c r="H156" s="115">
        <f t="shared" si="44"/>
        <v>-491000</v>
      </c>
      <c r="I156" s="115">
        <f t="shared" si="44"/>
        <v>2581000</v>
      </c>
      <c r="J156" s="115">
        <f t="shared" si="44"/>
        <v>0</v>
      </c>
      <c r="K156" s="115">
        <f t="shared" si="44"/>
        <v>2090000</v>
      </c>
      <c r="L156" s="115">
        <f t="shared" si="44"/>
        <v>0</v>
      </c>
      <c r="M156" s="115">
        <f t="shared" si="44"/>
        <v>2090000</v>
      </c>
    </row>
    <row r="157" spans="1:13" ht="15.75">
      <c r="A157" s="161" t="s">
        <v>22</v>
      </c>
      <c r="B157" s="175" t="s">
        <v>23</v>
      </c>
      <c r="C157" s="176"/>
      <c r="D157" s="15">
        <v>408.1</v>
      </c>
      <c r="E157" s="110">
        <v>14431000</v>
      </c>
      <c r="F157" s="110">
        <v>-4748000</v>
      </c>
      <c r="G157" s="110"/>
      <c r="H157" s="114">
        <f t="shared" si="40"/>
        <v>9683000</v>
      </c>
      <c r="I157" s="110">
        <f>-6502000-F157</f>
        <v>-1754000</v>
      </c>
      <c r="J157" s="110"/>
      <c r="K157" s="114">
        <f t="shared" si="41"/>
        <v>7929000</v>
      </c>
      <c r="L157" s="110">
        <v>496000</v>
      </c>
      <c r="M157" s="114">
        <f t="shared" si="42"/>
        <v>8425000</v>
      </c>
    </row>
    <row r="158" spans="1:13" ht="15.75">
      <c r="A158" s="162"/>
      <c r="B158" s="175" t="s">
        <v>217</v>
      </c>
      <c r="C158" s="176"/>
      <c r="D158" s="15">
        <v>409.1</v>
      </c>
      <c r="E158" s="110">
        <v>2557000</v>
      </c>
      <c r="F158" s="110">
        <v>64000</v>
      </c>
      <c r="G158" s="110">
        <v>-4000</v>
      </c>
      <c r="H158" s="114">
        <f t="shared" si="40"/>
        <v>2617000</v>
      </c>
      <c r="I158" s="110">
        <f>-827000-271000-F158</f>
        <v>-1162000</v>
      </c>
      <c r="J158" s="110"/>
      <c r="K158" s="114">
        <f t="shared" si="41"/>
        <v>1455000</v>
      </c>
      <c r="L158" s="110">
        <v>2596000</v>
      </c>
      <c r="M158" s="114">
        <f t="shared" si="42"/>
        <v>4051000</v>
      </c>
    </row>
    <row r="159" spans="1:13" ht="15.75">
      <c r="A159" s="162"/>
      <c r="B159" s="175" t="s">
        <v>218</v>
      </c>
      <c r="C159" s="176"/>
      <c r="D159" s="15">
        <v>409.1</v>
      </c>
      <c r="E159" s="110">
        <v>0</v>
      </c>
      <c r="F159" s="110"/>
      <c r="G159" s="110"/>
      <c r="H159" s="114">
        <f t="shared" si="40"/>
        <v>0</v>
      </c>
      <c r="I159" s="110"/>
      <c r="J159" s="110"/>
      <c r="K159" s="114">
        <f t="shared" si="41"/>
        <v>0</v>
      </c>
      <c r="M159" s="114">
        <f t="shared" si="42"/>
        <v>0</v>
      </c>
    </row>
    <row r="160" spans="1:13" ht="15.75">
      <c r="A160" s="162"/>
      <c r="B160" s="175" t="s">
        <v>24</v>
      </c>
      <c r="C160" s="176"/>
      <c r="D160" s="15" t="s">
        <v>25</v>
      </c>
      <c r="E160" s="110">
        <v>54000</v>
      </c>
      <c r="F160" s="110">
        <v>339000</v>
      </c>
      <c r="G160" s="110"/>
      <c r="H160" s="114">
        <f t="shared" si="40"/>
        <v>393000</v>
      </c>
      <c r="I160" s="110">
        <f>339000-F160</f>
        <v>0</v>
      </c>
      <c r="J160" s="110"/>
      <c r="K160" s="114">
        <f t="shared" si="41"/>
        <v>393000</v>
      </c>
      <c r="M160" s="114">
        <f t="shared" si="42"/>
        <v>393000</v>
      </c>
    </row>
    <row r="161" spans="1:13" ht="15.75">
      <c r="A161" s="162"/>
      <c r="B161" s="175" t="s">
        <v>219</v>
      </c>
      <c r="C161" s="176"/>
      <c r="D161" s="15">
        <v>411.4</v>
      </c>
      <c r="E161" s="110">
        <v>-15000</v>
      </c>
      <c r="F161" s="110"/>
      <c r="G161" s="110"/>
      <c r="H161" s="114">
        <f t="shared" si="40"/>
        <v>-15000</v>
      </c>
      <c r="I161" s="110"/>
      <c r="J161" s="110"/>
      <c r="K161" s="114">
        <f t="shared" si="41"/>
        <v>-15000</v>
      </c>
      <c r="M161" s="114">
        <f t="shared" si="42"/>
        <v>-15000</v>
      </c>
    </row>
    <row r="162" spans="1:13" ht="15.75">
      <c r="A162" s="163"/>
      <c r="B162" s="177" t="s">
        <v>26</v>
      </c>
      <c r="C162" s="177"/>
      <c r="D162" s="178"/>
      <c r="E162" s="115">
        <f>SUM(E157:E161)</f>
        <v>17027000</v>
      </c>
      <c r="F162" s="115">
        <f t="shared" ref="F162:M162" si="45">SUM(F157:F161)</f>
        <v>-4345000</v>
      </c>
      <c r="G162" s="115">
        <f t="shared" si="45"/>
        <v>-4000</v>
      </c>
      <c r="H162" s="115">
        <f t="shared" si="45"/>
        <v>12678000</v>
      </c>
      <c r="I162" s="115">
        <f t="shared" si="45"/>
        <v>-2916000</v>
      </c>
      <c r="J162" s="115">
        <f t="shared" si="45"/>
        <v>0</v>
      </c>
      <c r="K162" s="115">
        <f t="shared" si="45"/>
        <v>9762000</v>
      </c>
      <c r="L162" s="115">
        <f t="shared" si="45"/>
        <v>3092000</v>
      </c>
      <c r="M162" s="115">
        <f t="shared" si="45"/>
        <v>12854000</v>
      </c>
    </row>
    <row r="163" spans="1:13" ht="31.5">
      <c r="A163" s="161" t="s">
        <v>95</v>
      </c>
      <c r="B163" s="235" t="s">
        <v>95</v>
      </c>
      <c r="C163" s="235"/>
      <c r="D163" s="5" t="s">
        <v>27</v>
      </c>
      <c r="E163" s="110">
        <v>0</v>
      </c>
      <c r="H163" s="114">
        <f t="shared" si="40"/>
        <v>0</v>
      </c>
      <c r="K163" s="114">
        <f t="shared" si="41"/>
        <v>0</v>
      </c>
      <c r="M163" s="114">
        <f t="shared" si="42"/>
        <v>0</v>
      </c>
    </row>
    <row r="164" spans="1:13" ht="15.75">
      <c r="A164" s="163"/>
      <c r="B164" s="236" t="s">
        <v>28</v>
      </c>
      <c r="C164" s="177"/>
      <c r="D164" s="178"/>
      <c r="E164" s="115">
        <f>E163</f>
        <v>0</v>
      </c>
      <c r="F164" s="115">
        <f t="shared" ref="F164:M164" si="46">F163</f>
        <v>0</v>
      </c>
      <c r="G164" s="115">
        <f t="shared" si="46"/>
        <v>0</v>
      </c>
      <c r="H164" s="115">
        <f t="shared" si="46"/>
        <v>0</v>
      </c>
      <c r="I164" s="115">
        <f t="shared" si="46"/>
        <v>0</v>
      </c>
      <c r="J164" s="115">
        <f t="shared" si="46"/>
        <v>0</v>
      </c>
      <c r="K164" s="115">
        <f t="shared" si="46"/>
        <v>0</v>
      </c>
      <c r="L164" s="115">
        <f t="shared" si="46"/>
        <v>0</v>
      </c>
      <c r="M164" s="115">
        <f t="shared" si="46"/>
        <v>0</v>
      </c>
    </row>
    <row r="165" spans="1:13" ht="15.75">
      <c r="A165" s="161" t="s">
        <v>96</v>
      </c>
      <c r="B165" s="235" t="s">
        <v>146</v>
      </c>
      <c r="C165" s="235"/>
      <c r="D165" s="5">
        <v>421</v>
      </c>
      <c r="E165" s="110">
        <v>0</v>
      </c>
      <c r="H165" s="114">
        <f t="shared" si="40"/>
        <v>0</v>
      </c>
      <c r="K165" s="114">
        <f t="shared" si="41"/>
        <v>0</v>
      </c>
      <c r="M165" s="114">
        <f t="shared" si="42"/>
        <v>0</v>
      </c>
    </row>
    <row r="166" spans="1:13" ht="15.75">
      <c r="A166" s="163"/>
      <c r="B166" s="236" t="s">
        <v>147</v>
      </c>
      <c r="C166" s="177"/>
      <c r="D166" s="178"/>
      <c r="E166" s="115">
        <f>E165</f>
        <v>0</v>
      </c>
      <c r="F166" s="115">
        <f t="shared" ref="F166:M166" si="47">F165</f>
        <v>0</v>
      </c>
      <c r="G166" s="115">
        <f t="shared" si="47"/>
        <v>0</v>
      </c>
      <c r="H166" s="115">
        <f t="shared" si="47"/>
        <v>0</v>
      </c>
      <c r="I166" s="115">
        <f t="shared" si="47"/>
        <v>0</v>
      </c>
      <c r="J166" s="115">
        <f t="shared" si="47"/>
        <v>0</v>
      </c>
      <c r="K166" s="115">
        <f t="shared" si="47"/>
        <v>0</v>
      </c>
      <c r="L166" s="115">
        <f t="shared" si="47"/>
        <v>0</v>
      </c>
      <c r="M166" s="115">
        <f t="shared" si="47"/>
        <v>0</v>
      </c>
    </row>
    <row r="167" spans="1:13" ht="15.75">
      <c r="A167" s="179" t="s">
        <v>307</v>
      </c>
      <c r="B167" s="179"/>
      <c r="C167" s="179"/>
      <c r="D167" s="180"/>
      <c r="E167" s="113">
        <f t="shared" ref="E167:M167" ca="1" si="48">E43+E84+E106+E130+E132+E134+E137+E145+E154+E156+E162+E164+E166</f>
        <v>171780000</v>
      </c>
      <c r="F167" s="113">
        <f t="shared" ca="1" si="48"/>
        <v>-48127000</v>
      </c>
      <c r="G167" s="113">
        <f t="shared" ca="1" si="48"/>
        <v>-3000</v>
      </c>
      <c r="H167" s="113">
        <f t="shared" ca="1" si="48"/>
        <v>123650000</v>
      </c>
      <c r="I167" s="113">
        <f t="shared" ca="1" si="48"/>
        <v>-49845000</v>
      </c>
      <c r="J167" s="113">
        <f t="shared" ca="1" si="48"/>
        <v>0</v>
      </c>
      <c r="K167" s="113">
        <f t="shared" ca="1" si="48"/>
        <v>73805000</v>
      </c>
      <c r="L167" s="113">
        <f t="shared" ca="1" si="48"/>
        <v>3167000</v>
      </c>
      <c r="M167" s="113">
        <f t="shared" ca="1" si="48"/>
        <v>76972000</v>
      </c>
    </row>
    <row r="168" spans="1:13" ht="15.75">
      <c r="A168" s="181" t="s">
        <v>308</v>
      </c>
      <c r="B168" s="182"/>
      <c r="C168" s="182"/>
      <c r="D168" s="183"/>
      <c r="E168" s="113">
        <f t="shared" ref="E168:M168" ca="1" si="49">E16-E167</f>
        <v>24614000</v>
      </c>
      <c r="F168" s="113">
        <f t="shared" ca="1" si="49"/>
        <v>-653000</v>
      </c>
      <c r="G168" s="113">
        <f t="shared" ca="1" si="49"/>
        <v>3000</v>
      </c>
      <c r="H168" s="113">
        <f t="shared" ca="1" si="49"/>
        <v>23964000</v>
      </c>
      <c r="I168" s="113">
        <f t="shared" ca="1" si="49"/>
        <v>-3729000</v>
      </c>
      <c r="J168" s="113">
        <f t="shared" ca="1" si="49"/>
        <v>0</v>
      </c>
      <c r="K168" s="113">
        <f t="shared" ca="1" si="49"/>
        <v>20235000</v>
      </c>
      <c r="L168" s="113">
        <f t="shared" ca="1" si="49"/>
        <v>9768000</v>
      </c>
      <c r="M168" s="113">
        <f t="shared" ca="1" si="49"/>
        <v>30003000</v>
      </c>
    </row>
    <row r="169" spans="1:13" ht="15.75">
      <c r="A169" s="62"/>
      <c r="B169" s="16"/>
      <c r="C169" s="17"/>
      <c r="D169" s="18"/>
      <c r="H169" s="114">
        <f t="shared" si="40"/>
        <v>0</v>
      </c>
      <c r="K169" s="114">
        <f t="shared" si="41"/>
        <v>0</v>
      </c>
      <c r="M169" s="114">
        <f t="shared" si="42"/>
        <v>0</v>
      </c>
    </row>
    <row r="170" spans="1:13" ht="15.75">
      <c r="A170" s="13"/>
      <c r="B170" s="16"/>
      <c r="C170" s="19"/>
      <c r="D170" s="18"/>
      <c r="H170" s="114">
        <f t="shared" si="40"/>
        <v>0</v>
      </c>
      <c r="K170" s="114">
        <f t="shared" si="41"/>
        <v>0</v>
      </c>
      <c r="M170" s="114">
        <f t="shared" si="42"/>
        <v>0</v>
      </c>
    </row>
    <row r="171" spans="1:13" ht="15.75">
      <c r="A171" s="161" t="s">
        <v>148</v>
      </c>
      <c r="B171" s="161" t="s">
        <v>15</v>
      </c>
      <c r="C171" s="103" t="s">
        <v>309</v>
      </c>
      <c r="D171" s="12">
        <v>301</v>
      </c>
      <c r="F171" s="110"/>
      <c r="G171" s="110"/>
      <c r="H171" s="114">
        <f t="shared" si="40"/>
        <v>0</v>
      </c>
      <c r="I171" s="110"/>
      <c r="J171" s="110"/>
      <c r="K171" s="114">
        <f t="shared" si="41"/>
        <v>0</v>
      </c>
      <c r="M171" s="114">
        <f t="shared" si="42"/>
        <v>0</v>
      </c>
    </row>
    <row r="172" spans="1:13" ht="15.75">
      <c r="A172" s="162"/>
      <c r="B172" s="162"/>
      <c r="C172" s="104" t="s">
        <v>310</v>
      </c>
      <c r="D172" s="12">
        <v>302</v>
      </c>
      <c r="F172" s="110"/>
      <c r="G172" s="110"/>
      <c r="H172" s="114">
        <f t="shared" si="40"/>
        <v>0</v>
      </c>
      <c r="I172" s="110"/>
      <c r="J172" s="110"/>
      <c r="K172" s="114">
        <f t="shared" si="41"/>
        <v>0</v>
      </c>
      <c r="M172" s="114">
        <f t="shared" si="42"/>
        <v>0</v>
      </c>
    </row>
    <row r="173" spans="1:13" ht="15.75">
      <c r="A173" s="162"/>
      <c r="B173" s="162"/>
      <c r="C173" s="96" t="s">
        <v>311</v>
      </c>
      <c r="D173" s="12">
        <v>303</v>
      </c>
      <c r="E173" s="110">
        <v>36603000</v>
      </c>
      <c r="F173" s="110"/>
      <c r="G173" s="110"/>
      <c r="H173" s="114">
        <f t="shared" si="40"/>
        <v>36603000</v>
      </c>
      <c r="I173" s="110">
        <f>-3468000-F173</f>
        <v>-3468000</v>
      </c>
      <c r="J173" s="110"/>
      <c r="K173" s="114">
        <f t="shared" si="41"/>
        <v>33135000</v>
      </c>
      <c r="M173" s="114">
        <f t="shared" si="42"/>
        <v>33135000</v>
      </c>
    </row>
    <row r="174" spans="1:13" ht="15.75">
      <c r="A174" s="162"/>
      <c r="B174" s="162"/>
      <c r="C174" s="184" t="s">
        <v>149</v>
      </c>
      <c r="D174" s="185"/>
      <c r="E174" s="118">
        <f>SUM(E171:E173)</f>
        <v>36603000</v>
      </c>
      <c r="F174" s="118">
        <f t="shared" ref="F174:M174" si="50">SUM(F171:F173)</f>
        <v>0</v>
      </c>
      <c r="G174" s="118">
        <f t="shared" si="50"/>
        <v>0</v>
      </c>
      <c r="H174" s="118">
        <f t="shared" si="50"/>
        <v>36603000</v>
      </c>
      <c r="I174" s="118">
        <f t="shared" si="50"/>
        <v>-3468000</v>
      </c>
      <c r="J174" s="118">
        <f t="shared" si="50"/>
        <v>0</v>
      </c>
      <c r="K174" s="118">
        <f t="shared" si="50"/>
        <v>33135000</v>
      </c>
      <c r="L174" s="118">
        <f t="shared" si="50"/>
        <v>0</v>
      </c>
      <c r="M174" s="118">
        <f t="shared" si="50"/>
        <v>33135000</v>
      </c>
    </row>
    <row r="175" spans="1:13" ht="15.75">
      <c r="A175" s="162"/>
      <c r="B175" s="161" t="s">
        <v>150</v>
      </c>
      <c r="C175" s="104" t="s">
        <v>312</v>
      </c>
      <c r="D175" s="117"/>
      <c r="E175" s="110">
        <v>910000</v>
      </c>
      <c r="F175" s="110"/>
      <c r="G175" s="110"/>
      <c r="H175" s="114">
        <f t="shared" si="40"/>
        <v>910000</v>
      </c>
      <c r="I175" s="110"/>
      <c r="J175" s="110"/>
      <c r="K175" s="114">
        <f t="shared" si="41"/>
        <v>910000</v>
      </c>
      <c r="M175" s="114">
        <f t="shared" si="42"/>
        <v>910000</v>
      </c>
    </row>
    <row r="176" spans="1:13" ht="15.75">
      <c r="A176" s="162"/>
      <c r="B176" s="162"/>
      <c r="C176" s="104" t="s">
        <v>313</v>
      </c>
      <c r="D176" s="117">
        <v>350.1</v>
      </c>
      <c r="F176" s="110"/>
      <c r="G176" s="110"/>
      <c r="H176" s="114">
        <f t="shared" si="40"/>
        <v>0</v>
      </c>
      <c r="I176" s="110"/>
      <c r="J176" s="110"/>
      <c r="K176" s="114">
        <f t="shared" si="41"/>
        <v>0</v>
      </c>
      <c r="M176" s="114">
        <f t="shared" si="42"/>
        <v>0</v>
      </c>
    </row>
    <row r="177" spans="1:13" ht="15.75">
      <c r="A177" s="162"/>
      <c r="B177" s="162"/>
      <c r="C177" s="104" t="s">
        <v>314</v>
      </c>
      <c r="D177" s="119">
        <v>350.2</v>
      </c>
      <c r="E177" s="110">
        <v>1754000</v>
      </c>
      <c r="F177" s="110">
        <v>122000</v>
      </c>
      <c r="G177" s="110"/>
      <c r="H177" s="114">
        <f t="shared" si="40"/>
        <v>1876000</v>
      </c>
      <c r="I177" s="110">
        <f>122000-F177</f>
        <v>0</v>
      </c>
      <c r="J177" s="110"/>
      <c r="K177" s="114">
        <f t="shared" si="41"/>
        <v>1876000</v>
      </c>
      <c r="M177" s="114">
        <f t="shared" si="42"/>
        <v>1876000</v>
      </c>
    </row>
    <row r="178" spans="1:13" ht="15.75">
      <c r="A178" s="162"/>
      <c r="B178" s="162"/>
      <c r="C178" s="104" t="s">
        <v>315</v>
      </c>
      <c r="D178" s="117">
        <v>351</v>
      </c>
      <c r="E178" s="110">
        <v>13294000</v>
      </c>
      <c r="F178" s="110">
        <v>122000</v>
      </c>
      <c r="G178" s="110"/>
      <c r="H178" s="114">
        <f t="shared" si="40"/>
        <v>13416000</v>
      </c>
      <c r="I178" s="110">
        <f>122000-F178</f>
        <v>0</v>
      </c>
      <c r="J178" s="110"/>
      <c r="K178" s="114">
        <f t="shared" si="41"/>
        <v>13416000</v>
      </c>
      <c r="M178" s="114">
        <f t="shared" si="42"/>
        <v>13416000</v>
      </c>
    </row>
    <row r="179" spans="1:13" ht="15.75">
      <c r="A179" s="162"/>
      <c r="B179" s="162"/>
      <c r="C179" s="104" t="s">
        <v>316</v>
      </c>
      <c r="D179" s="117">
        <v>352</v>
      </c>
      <c r="F179" s="110"/>
      <c r="G179" s="110"/>
      <c r="H179" s="114">
        <f t="shared" si="40"/>
        <v>0</v>
      </c>
      <c r="I179" s="110"/>
      <c r="J179" s="110"/>
      <c r="K179" s="114">
        <f t="shared" si="41"/>
        <v>0</v>
      </c>
      <c r="M179" s="114">
        <f t="shared" si="42"/>
        <v>0</v>
      </c>
    </row>
    <row r="180" spans="1:13" ht="15.75">
      <c r="A180" s="162"/>
      <c r="B180" s="162"/>
      <c r="C180" s="104" t="s">
        <v>317</v>
      </c>
      <c r="D180" s="119">
        <v>352.1</v>
      </c>
      <c r="F180" s="110"/>
      <c r="G180" s="110"/>
      <c r="H180" s="114">
        <f t="shared" si="40"/>
        <v>0</v>
      </c>
      <c r="I180" s="110"/>
      <c r="J180" s="110"/>
      <c r="K180" s="114">
        <f t="shared" si="41"/>
        <v>0</v>
      </c>
      <c r="M180" s="114">
        <f t="shared" si="42"/>
        <v>0</v>
      </c>
    </row>
    <row r="181" spans="1:13" ht="15.75">
      <c r="A181" s="162"/>
      <c r="B181" s="162"/>
      <c r="C181" s="104" t="s">
        <v>318</v>
      </c>
      <c r="D181" s="119">
        <v>352.2</v>
      </c>
      <c r="F181" s="110"/>
      <c r="G181" s="110"/>
      <c r="H181" s="114">
        <f t="shared" si="40"/>
        <v>0</v>
      </c>
      <c r="I181" s="110"/>
      <c r="J181" s="110"/>
      <c r="K181" s="114">
        <f t="shared" si="41"/>
        <v>0</v>
      </c>
      <c r="M181" s="114">
        <f t="shared" si="42"/>
        <v>0</v>
      </c>
    </row>
    <row r="182" spans="1:13" ht="15.75">
      <c r="A182" s="162"/>
      <c r="B182" s="162"/>
      <c r="C182" s="104" t="s">
        <v>319</v>
      </c>
      <c r="D182" s="119">
        <v>352.3</v>
      </c>
      <c r="E182" s="110">
        <v>722000</v>
      </c>
      <c r="F182" s="110"/>
      <c r="G182" s="110"/>
      <c r="H182" s="114">
        <f t="shared" si="40"/>
        <v>722000</v>
      </c>
      <c r="I182" s="110">
        <v>0</v>
      </c>
      <c r="J182" s="110"/>
      <c r="K182" s="114">
        <f t="shared" si="41"/>
        <v>722000</v>
      </c>
      <c r="M182" s="114">
        <f t="shared" si="42"/>
        <v>722000</v>
      </c>
    </row>
    <row r="183" spans="1:13" ht="15.75">
      <c r="A183" s="162"/>
      <c r="B183" s="162"/>
      <c r="C183" s="104" t="s">
        <v>320</v>
      </c>
      <c r="D183" s="117">
        <v>353</v>
      </c>
      <c r="E183" s="110">
        <v>8750000</v>
      </c>
      <c r="F183" s="110">
        <v>122000</v>
      </c>
      <c r="G183" s="110"/>
      <c r="H183" s="114">
        <f t="shared" si="40"/>
        <v>8872000</v>
      </c>
      <c r="I183" s="110">
        <f t="shared" ref="I183:I184" si="51">122000-F183</f>
        <v>0</v>
      </c>
      <c r="J183" s="110"/>
      <c r="K183" s="114">
        <f t="shared" si="41"/>
        <v>8872000</v>
      </c>
      <c r="M183" s="114">
        <f t="shared" si="42"/>
        <v>8872000</v>
      </c>
    </row>
    <row r="184" spans="1:13" ht="31.5">
      <c r="A184" s="162"/>
      <c r="B184" s="162"/>
      <c r="C184" s="104" t="s">
        <v>321</v>
      </c>
      <c r="D184" s="117">
        <v>354</v>
      </c>
      <c r="E184" s="110">
        <v>921000</v>
      </c>
      <c r="F184" s="110">
        <v>122000</v>
      </c>
      <c r="G184" s="110"/>
      <c r="H184" s="114">
        <f t="shared" si="40"/>
        <v>1043000</v>
      </c>
      <c r="I184" s="110">
        <f t="shared" si="51"/>
        <v>0</v>
      </c>
      <c r="J184" s="110"/>
      <c r="K184" s="114">
        <f t="shared" si="41"/>
        <v>1043000</v>
      </c>
      <c r="M184" s="114">
        <f t="shared" si="42"/>
        <v>1043000</v>
      </c>
    </row>
    <row r="185" spans="1:13" ht="15.75">
      <c r="A185" s="162"/>
      <c r="B185" s="162"/>
      <c r="C185" s="104" t="s">
        <v>322</v>
      </c>
      <c r="D185" s="117">
        <v>355</v>
      </c>
      <c r="E185" s="110">
        <v>279000</v>
      </c>
      <c r="F185" s="110"/>
      <c r="G185" s="110"/>
      <c r="H185" s="114">
        <f t="shared" si="40"/>
        <v>279000</v>
      </c>
      <c r="I185" s="110"/>
      <c r="J185" s="110"/>
      <c r="K185" s="114">
        <f t="shared" si="41"/>
        <v>279000</v>
      </c>
      <c r="M185" s="114">
        <f t="shared" si="42"/>
        <v>279000</v>
      </c>
    </row>
    <row r="186" spans="1:13" ht="15.75">
      <c r="A186" s="162"/>
      <c r="B186" s="162"/>
      <c r="C186" s="104" t="s">
        <v>323</v>
      </c>
      <c r="D186" s="117">
        <v>356</v>
      </c>
      <c r="E186" s="110">
        <v>1812000</v>
      </c>
      <c r="F186" s="110">
        <v>112000</v>
      </c>
      <c r="G186" s="110"/>
      <c r="H186" s="114">
        <f t="shared" si="40"/>
        <v>1924000</v>
      </c>
      <c r="I186" s="110">
        <f>112000-F186</f>
        <v>0</v>
      </c>
      <c r="J186" s="110"/>
      <c r="K186" s="114">
        <f t="shared" si="41"/>
        <v>1924000</v>
      </c>
      <c r="M186" s="114">
        <f t="shared" si="42"/>
        <v>1924000</v>
      </c>
    </row>
    <row r="187" spans="1:13" ht="15.75">
      <c r="A187" s="162"/>
      <c r="B187" s="163"/>
      <c r="C187" s="184" t="s">
        <v>151</v>
      </c>
      <c r="D187" s="185"/>
      <c r="E187" s="118">
        <f>SUM(E175:E186)</f>
        <v>28442000</v>
      </c>
      <c r="F187" s="118">
        <f t="shared" ref="F187:M187" si="52">SUM(F175:F186)</f>
        <v>600000</v>
      </c>
      <c r="G187" s="118">
        <f t="shared" si="52"/>
        <v>0</v>
      </c>
      <c r="H187" s="118">
        <f t="shared" si="52"/>
        <v>29042000</v>
      </c>
      <c r="I187" s="118">
        <f t="shared" si="52"/>
        <v>0</v>
      </c>
      <c r="J187" s="118">
        <f t="shared" si="52"/>
        <v>0</v>
      </c>
      <c r="K187" s="118">
        <f t="shared" si="52"/>
        <v>29042000</v>
      </c>
      <c r="L187" s="118">
        <f t="shared" si="52"/>
        <v>0</v>
      </c>
      <c r="M187" s="118">
        <f t="shared" si="52"/>
        <v>29042000</v>
      </c>
    </row>
    <row r="188" spans="1:13" ht="15.75">
      <c r="A188" s="162"/>
      <c r="B188" s="161" t="s">
        <v>152</v>
      </c>
      <c r="C188" s="9" t="s">
        <v>324</v>
      </c>
      <c r="D188" s="15">
        <v>365.1</v>
      </c>
      <c r="E188" s="110">
        <v>0</v>
      </c>
      <c r="H188" s="114">
        <f t="shared" si="40"/>
        <v>0</v>
      </c>
      <c r="K188" s="114">
        <f t="shared" si="41"/>
        <v>0</v>
      </c>
      <c r="M188" s="114">
        <f t="shared" si="42"/>
        <v>0</v>
      </c>
    </row>
    <row r="189" spans="1:13" ht="15.75">
      <c r="A189" s="162"/>
      <c r="B189" s="162"/>
      <c r="C189" s="9" t="s">
        <v>313</v>
      </c>
      <c r="D189" s="15">
        <v>365.2</v>
      </c>
      <c r="E189" s="110">
        <v>0</v>
      </c>
      <c r="H189" s="114">
        <f t="shared" si="40"/>
        <v>0</v>
      </c>
      <c r="K189" s="114">
        <f t="shared" si="41"/>
        <v>0</v>
      </c>
      <c r="M189" s="114">
        <f t="shared" si="42"/>
        <v>0</v>
      </c>
    </row>
    <row r="190" spans="1:13" ht="15.75">
      <c r="A190" s="162"/>
      <c r="B190" s="162"/>
      <c r="C190" s="9" t="s">
        <v>314</v>
      </c>
      <c r="D190" s="12">
        <v>366</v>
      </c>
      <c r="E190" s="110">
        <v>0</v>
      </c>
      <c r="H190" s="114">
        <f t="shared" si="40"/>
        <v>0</v>
      </c>
      <c r="K190" s="114">
        <f t="shared" si="41"/>
        <v>0</v>
      </c>
      <c r="M190" s="114">
        <f t="shared" si="42"/>
        <v>0</v>
      </c>
    </row>
    <row r="191" spans="1:13" ht="15.75">
      <c r="A191" s="162"/>
      <c r="B191" s="162"/>
      <c r="C191" s="9" t="s">
        <v>325</v>
      </c>
      <c r="D191" s="12">
        <v>367</v>
      </c>
      <c r="E191" s="110">
        <v>0</v>
      </c>
      <c r="H191" s="114">
        <f t="shared" si="40"/>
        <v>0</v>
      </c>
      <c r="K191" s="114">
        <f t="shared" si="41"/>
        <v>0</v>
      </c>
      <c r="M191" s="114">
        <f t="shared" si="42"/>
        <v>0</v>
      </c>
    </row>
    <row r="192" spans="1:13" ht="15.75">
      <c r="A192" s="162"/>
      <c r="B192" s="162"/>
      <c r="C192" s="9" t="s">
        <v>320</v>
      </c>
      <c r="D192" s="12">
        <v>368</v>
      </c>
      <c r="E192" s="110">
        <v>0</v>
      </c>
      <c r="H192" s="114">
        <f t="shared" si="40"/>
        <v>0</v>
      </c>
      <c r="K192" s="114">
        <f t="shared" si="41"/>
        <v>0</v>
      </c>
      <c r="M192" s="114">
        <f t="shared" si="42"/>
        <v>0</v>
      </c>
    </row>
    <row r="193" spans="1:13" ht="31.5">
      <c r="A193" s="162"/>
      <c r="B193" s="162"/>
      <c r="C193" s="9" t="s">
        <v>326</v>
      </c>
      <c r="D193" s="12">
        <v>369</v>
      </c>
      <c r="E193" s="110">
        <v>0</v>
      </c>
      <c r="H193" s="114">
        <f t="shared" si="40"/>
        <v>0</v>
      </c>
      <c r="K193" s="114">
        <f t="shared" si="41"/>
        <v>0</v>
      </c>
      <c r="M193" s="114">
        <f t="shared" si="42"/>
        <v>0</v>
      </c>
    </row>
    <row r="194" spans="1:13" ht="15.75">
      <c r="A194" s="162"/>
      <c r="B194" s="162"/>
      <c r="C194" s="9" t="s">
        <v>327</v>
      </c>
      <c r="D194" s="12">
        <v>370</v>
      </c>
      <c r="E194" s="110">
        <v>0</v>
      </c>
      <c r="H194" s="114">
        <f t="shared" si="40"/>
        <v>0</v>
      </c>
      <c r="K194" s="114">
        <f t="shared" si="41"/>
        <v>0</v>
      </c>
      <c r="M194" s="114">
        <f t="shared" si="42"/>
        <v>0</v>
      </c>
    </row>
    <row r="195" spans="1:13" ht="15.75">
      <c r="A195" s="162"/>
      <c r="B195" s="162"/>
      <c r="C195" s="9" t="s">
        <v>323</v>
      </c>
      <c r="D195" s="12">
        <v>371</v>
      </c>
      <c r="E195" s="110">
        <v>0</v>
      </c>
      <c r="H195" s="114">
        <f t="shared" si="40"/>
        <v>0</v>
      </c>
      <c r="K195" s="114">
        <f t="shared" si="41"/>
        <v>0</v>
      </c>
      <c r="M195" s="114">
        <f t="shared" si="42"/>
        <v>0</v>
      </c>
    </row>
    <row r="196" spans="1:13" ht="15.75">
      <c r="A196" s="162"/>
      <c r="B196" s="163"/>
      <c r="C196" s="186" t="s">
        <v>328</v>
      </c>
      <c r="D196" s="186"/>
      <c r="E196" s="118">
        <f>SUM(E188:E195)</f>
        <v>0</v>
      </c>
      <c r="F196" s="118">
        <f t="shared" ref="F196:M196" si="53">SUM(F188:F195)</f>
        <v>0</v>
      </c>
      <c r="G196" s="118">
        <f t="shared" si="53"/>
        <v>0</v>
      </c>
      <c r="H196" s="118">
        <f t="shared" si="53"/>
        <v>0</v>
      </c>
      <c r="I196" s="118">
        <f t="shared" si="53"/>
        <v>0</v>
      </c>
      <c r="J196" s="118">
        <f t="shared" si="53"/>
        <v>0</v>
      </c>
      <c r="K196" s="118">
        <f t="shared" si="53"/>
        <v>0</v>
      </c>
      <c r="L196" s="118">
        <f t="shared" si="53"/>
        <v>0</v>
      </c>
      <c r="M196" s="118">
        <f t="shared" si="53"/>
        <v>0</v>
      </c>
    </row>
    <row r="197" spans="1:13" ht="15.75">
      <c r="A197" s="162"/>
      <c r="B197" s="161" t="s">
        <v>153</v>
      </c>
      <c r="C197" s="9" t="s">
        <v>324</v>
      </c>
      <c r="D197" s="100">
        <v>374</v>
      </c>
      <c r="E197" s="110">
        <v>261000</v>
      </c>
      <c r="F197" s="110">
        <v>116000</v>
      </c>
      <c r="G197" s="110"/>
      <c r="H197" s="114">
        <f t="shared" si="40"/>
        <v>377000</v>
      </c>
      <c r="I197" s="110">
        <f>124000-F197</f>
        <v>8000</v>
      </c>
      <c r="J197" s="110"/>
      <c r="K197" s="114">
        <f t="shared" si="41"/>
        <v>385000</v>
      </c>
      <c r="M197" s="114">
        <f t="shared" si="42"/>
        <v>385000</v>
      </c>
    </row>
    <row r="198" spans="1:13" ht="15.75">
      <c r="A198" s="162"/>
      <c r="B198" s="162"/>
      <c r="C198" s="9" t="s">
        <v>314</v>
      </c>
      <c r="D198" s="100">
        <v>375</v>
      </c>
      <c r="E198" s="110">
        <v>653000</v>
      </c>
      <c r="F198" s="110">
        <v>151000</v>
      </c>
      <c r="G198" s="110"/>
      <c r="H198" s="114">
        <f t="shared" si="40"/>
        <v>804000</v>
      </c>
      <c r="I198" s="110">
        <f>172000-F198</f>
        <v>21000</v>
      </c>
      <c r="J198" s="110"/>
      <c r="K198" s="114">
        <f t="shared" si="41"/>
        <v>825000</v>
      </c>
      <c r="M198" s="114">
        <f t="shared" si="42"/>
        <v>825000</v>
      </c>
    </row>
    <row r="199" spans="1:13" ht="15.75">
      <c r="A199" s="162"/>
      <c r="B199" s="162"/>
      <c r="C199" s="9" t="s">
        <v>325</v>
      </c>
      <c r="D199" s="100">
        <v>376</v>
      </c>
      <c r="E199" s="110">
        <v>226876000</v>
      </c>
      <c r="F199" s="110">
        <v>15322000</v>
      </c>
      <c r="G199" s="110"/>
      <c r="H199" s="114">
        <f t="shared" si="40"/>
        <v>242198000</v>
      </c>
      <c r="I199" s="110">
        <f>22478000-F199</f>
        <v>7156000</v>
      </c>
      <c r="J199" s="110"/>
      <c r="K199" s="114">
        <f t="shared" si="41"/>
        <v>249354000</v>
      </c>
      <c r="M199" s="114">
        <f t="shared" si="42"/>
        <v>249354000</v>
      </c>
    </row>
    <row r="200" spans="1:13" ht="15.75">
      <c r="A200" s="162"/>
      <c r="B200" s="162"/>
      <c r="C200" s="9" t="s">
        <v>320</v>
      </c>
      <c r="D200" s="100">
        <v>377</v>
      </c>
      <c r="E200" s="110">
        <v>0</v>
      </c>
      <c r="F200" s="110">
        <v>0</v>
      </c>
      <c r="G200" s="110"/>
      <c r="H200" s="114">
        <f t="shared" si="40"/>
        <v>0</v>
      </c>
      <c r="I200" s="110">
        <v>0</v>
      </c>
      <c r="J200" s="110"/>
      <c r="K200" s="114">
        <f t="shared" si="41"/>
        <v>0</v>
      </c>
      <c r="M200" s="114">
        <f t="shared" si="42"/>
        <v>0</v>
      </c>
    </row>
    <row r="201" spans="1:13" ht="31.5">
      <c r="A201" s="162"/>
      <c r="B201" s="162"/>
      <c r="C201" s="9" t="s">
        <v>329</v>
      </c>
      <c r="D201" s="100">
        <v>378</v>
      </c>
      <c r="E201" s="110">
        <v>3832000</v>
      </c>
      <c r="F201" s="110">
        <v>177000</v>
      </c>
      <c r="G201" s="110"/>
      <c r="H201" s="114">
        <f t="shared" si="40"/>
        <v>4009000</v>
      </c>
      <c r="I201" s="110">
        <f>298000-F201</f>
        <v>121000</v>
      </c>
      <c r="J201" s="110"/>
      <c r="K201" s="114">
        <f t="shared" si="41"/>
        <v>4130000</v>
      </c>
      <c r="M201" s="114">
        <f t="shared" si="42"/>
        <v>4130000</v>
      </c>
    </row>
    <row r="202" spans="1:13" ht="47.25">
      <c r="A202" s="162"/>
      <c r="B202" s="162"/>
      <c r="C202" s="9" t="s">
        <v>330</v>
      </c>
      <c r="D202" s="100">
        <v>379</v>
      </c>
      <c r="E202" s="110">
        <v>2130000</v>
      </c>
      <c r="F202" s="110">
        <v>-243000</v>
      </c>
      <c r="G202" s="110"/>
      <c r="H202" s="114">
        <f t="shared" si="40"/>
        <v>1887000</v>
      </c>
      <c r="I202" s="110">
        <f>-176000-F202</f>
        <v>67000</v>
      </c>
      <c r="J202" s="110"/>
      <c r="K202" s="114">
        <f t="shared" si="41"/>
        <v>1954000</v>
      </c>
      <c r="M202" s="114">
        <f t="shared" si="42"/>
        <v>1954000</v>
      </c>
    </row>
    <row r="203" spans="1:13" ht="15.75">
      <c r="A203" s="162"/>
      <c r="B203" s="162"/>
      <c r="C203" s="9" t="s">
        <v>331</v>
      </c>
      <c r="D203" s="100">
        <v>380</v>
      </c>
      <c r="E203" s="110">
        <v>169033000</v>
      </c>
      <c r="F203" s="110">
        <v>10970000</v>
      </c>
      <c r="G203" s="110"/>
      <c r="H203" s="114">
        <f t="shared" si="40"/>
        <v>180003000</v>
      </c>
      <c r="I203" s="110">
        <f>16301000-F203</f>
        <v>5331000</v>
      </c>
      <c r="J203" s="110"/>
      <c r="K203" s="114">
        <f t="shared" si="41"/>
        <v>185334000</v>
      </c>
      <c r="M203" s="114">
        <f t="shared" si="42"/>
        <v>185334000</v>
      </c>
    </row>
    <row r="204" spans="1:13" ht="15.75">
      <c r="A204" s="162"/>
      <c r="B204" s="162"/>
      <c r="C204" s="9" t="s">
        <v>332</v>
      </c>
      <c r="D204" s="100">
        <v>381</v>
      </c>
      <c r="E204" s="110">
        <v>57192000</v>
      </c>
      <c r="F204" s="110">
        <f>-7041000-2156000</f>
        <v>-9197000</v>
      </c>
      <c r="G204" s="110"/>
      <c r="H204" s="114">
        <f t="shared" si="40"/>
        <v>47995000</v>
      </c>
      <c r="I204" s="110">
        <f>-7393000-F204</f>
        <v>1804000</v>
      </c>
      <c r="J204" s="110"/>
      <c r="K204" s="114">
        <f t="shared" si="41"/>
        <v>49799000</v>
      </c>
      <c r="M204" s="114">
        <f t="shared" si="42"/>
        <v>49799000</v>
      </c>
    </row>
    <row r="205" spans="1:13" ht="15.75">
      <c r="A205" s="162"/>
      <c r="B205" s="162"/>
      <c r="C205" s="9" t="s">
        <v>333</v>
      </c>
      <c r="D205" s="100">
        <v>382</v>
      </c>
      <c r="E205" s="110">
        <v>0</v>
      </c>
      <c r="F205" s="110"/>
      <c r="G205" s="110"/>
      <c r="H205" s="114">
        <f t="shared" si="40"/>
        <v>0</v>
      </c>
      <c r="I205" s="110">
        <v>0</v>
      </c>
      <c r="J205" s="110"/>
      <c r="K205" s="114">
        <f t="shared" si="41"/>
        <v>0</v>
      </c>
      <c r="M205" s="114">
        <f t="shared" si="42"/>
        <v>0</v>
      </c>
    </row>
    <row r="206" spans="1:13" ht="15.75">
      <c r="A206" s="162"/>
      <c r="B206" s="162"/>
      <c r="C206" s="9" t="s">
        <v>334</v>
      </c>
      <c r="D206" s="100">
        <v>383</v>
      </c>
      <c r="E206" s="110">
        <v>0</v>
      </c>
      <c r="F206" s="110"/>
      <c r="G206" s="110"/>
      <c r="H206" s="114">
        <f t="shared" si="40"/>
        <v>0</v>
      </c>
      <c r="I206" s="110">
        <v>0</v>
      </c>
      <c r="J206" s="110"/>
      <c r="K206" s="114">
        <f t="shared" si="41"/>
        <v>0</v>
      </c>
      <c r="M206" s="114">
        <f t="shared" si="42"/>
        <v>0</v>
      </c>
    </row>
    <row r="207" spans="1:13" ht="15.75">
      <c r="A207" s="162"/>
      <c r="B207" s="162"/>
      <c r="C207" s="9" t="s">
        <v>335</v>
      </c>
      <c r="D207" s="100">
        <v>384</v>
      </c>
      <c r="E207" s="110">
        <v>0</v>
      </c>
      <c r="F207" s="110"/>
      <c r="G207" s="110"/>
      <c r="H207" s="114">
        <f t="shared" si="40"/>
        <v>0</v>
      </c>
      <c r="I207" s="110">
        <v>0</v>
      </c>
      <c r="J207" s="110"/>
      <c r="K207" s="114">
        <f t="shared" si="41"/>
        <v>0</v>
      </c>
      <c r="M207" s="114">
        <f t="shared" si="42"/>
        <v>0</v>
      </c>
    </row>
    <row r="208" spans="1:13" ht="31.5">
      <c r="A208" s="162"/>
      <c r="B208" s="162"/>
      <c r="C208" s="9" t="s">
        <v>336</v>
      </c>
      <c r="D208" s="100">
        <v>385</v>
      </c>
      <c r="E208" s="110">
        <v>2659000</v>
      </c>
      <c r="F208" s="110">
        <v>72000</v>
      </c>
      <c r="G208" s="110"/>
      <c r="H208" s="114">
        <f t="shared" si="40"/>
        <v>2731000</v>
      </c>
      <c r="I208" s="110">
        <f>156000-F208</f>
        <v>84000</v>
      </c>
      <c r="J208" s="110"/>
      <c r="K208" s="114">
        <f t="shared" si="41"/>
        <v>2815000</v>
      </c>
      <c r="M208" s="114">
        <f t="shared" si="42"/>
        <v>2815000</v>
      </c>
    </row>
    <row r="209" spans="1:13" ht="31.5">
      <c r="A209" s="162"/>
      <c r="B209" s="162"/>
      <c r="C209" s="9" t="s">
        <v>337</v>
      </c>
      <c r="D209" s="100">
        <v>386</v>
      </c>
      <c r="E209" s="110">
        <v>0</v>
      </c>
      <c r="F209" s="110"/>
      <c r="G209" s="110"/>
      <c r="H209" s="114">
        <f t="shared" si="40"/>
        <v>0</v>
      </c>
      <c r="I209" s="110">
        <v>0</v>
      </c>
      <c r="J209" s="110"/>
      <c r="K209" s="114">
        <f t="shared" si="41"/>
        <v>0</v>
      </c>
      <c r="M209" s="114">
        <f t="shared" si="42"/>
        <v>0</v>
      </c>
    </row>
    <row r="210" spans="1:13" ht="15.75">
      <c r="A210" s="162"/>
      <c r="B210" s="162"/>
      <c r="C210" s="9" t="s">
        <v>323</v>
      </c>
      <c r="D210" s="100">
        <v>387</v>
      </c>
      <c r="E210" s="110">
        <v>0</v>
      </c>
      <c r="F210" s="110"/>
      <c r="G210" s="110"/>
      <c r="H210" s="114">
        <f t="shared" si="40"/>
        <v>0</v>
      </c>
      <c r="I210" s="110">
        <v>0</v>
      </c>
      <c r="J210" s="110"/>
      <c r="K210" s="114">
        <f t="shared" si="41"/>
        <v>0</v>
      </c>
      <c r="M210" s="114">
        <f t="shared" si="42"/>
        <v>0</v>
      </c>
    </row>
    <row r="211" spans="1:13" ht="15.75">
      <c r="A211" s="162"/>
      <c r="B211" s="163"/>
      <c r="C211" s="184" t="s">
        <v>155</v>
      </c>
      <c r="D211" s="186"/>
      <c r="E211" s="118">
        <f>SUM(E197:E210)</f>
        <v>462636000</v>
      </c>
      <c r="F211" s="118">
        <f t="shared" ref="F211:M211" si="54">SUM(F197:F210)</f>
        <v>17368000</v>
      </c>
      <c r="G211" s="118">
        <f t="shared" si="54"/>
        <v>0</v>
      </c>
      <c r="H211" s="118">
        <f t="shared" si="54"/>
        <v>480004000</v>
      </c>
      <c r="I211" s="118">
        <f t="shared" si="54"/>
        <v>14592000</v>
      </c>
      <c r="J211" s="118">
        <f t="shared" si="54"/>
        <v>0</v>
      </c>
      <c r="K211" s="118">
        <f t="shared" si="54"/>
        <v>494596000</v>
      </c>
      <c r="L211" s="118">
        <f t="shared" si="54"/>
        <v>0</v>
      </c>
      <c r="M211" s="118">
        <f t="shared" si="54"/>
        <v>494596000</v>
      </c>
    </row>
    <row r="212" spans="1:13" ht="15.75">
      <c r="A212" s="162"/>
      <c r="B212" s="161" t="s">
        <v>156</v>
      </c>
      <c r="C212" s="9" t="s">
        <v>324</v>
      </c>
      <c r="D212" s="100">
        <v>389</v>
      </c>
      <c r="E212" s="110">
        <v>4444000</v>
      </c>
      <c r="F212" s="110">
        <v>102000</v>
      </c>
      <c r="G212" s="110"/>
      <c r="H212" s="114">
        <f t="shared" si="40"/>
        <v>4546000</v>
      </c>
      <c r="I212" s="110">
        <f>786000-F212</f>
        <v>684000</v>
      </c>
      <c r="J212" s="110"/>
      <c r="K212" s="114">
        <f t="shared" si="41"/>
        <v>5230000</v>
      </c>
      <c r="M212" s="114">
        <f t="shared" si="42"/>
        <v>5230000</v>
      </c>
    </row>
    <row r="213" spans="1:13" ht="15.75">
      <c r="A213" s="162"/>
      <c r="B213" s="162"/>
      <c r="C213" s="9" t="s">
        <v>314</v>
      </c>
      <c r="D213" s="100">
        <v>390</v>
      </c>
      <c r="E213" s="110">
        <v>27044000</v>
      </c>
      <c r="F213" s="110">
        <v>12161000</v>
      </c>
      <c r="G213" s="110">
        <v>1000</v>
      </c>
      <c r="H213" s="114">
        <f t="shared" ref="H213:H276" si="55">SUM(E213:G213)</f>
        <v>39206000</v>
      </c>
      <c r="I213" s="110">
        <f>16326000-F213</f>
        <v>4165000</v>
      </c>
      <c r="J213" s="110"/>
      <c r="K213" s="114">
        <f t="shared" ref="K213:K276" si="56">SUM(H213:J213)</f>
        <v>43371000</v>
      </c>
      <c r="M213" s="114">
        <f t="shared" ref="M213:M276" si="57">SUM(K213:L213)</f>
        <v>43371000</v>
      </c>
    </row>
    <row r="214" spans="1:13" ht="15.75">
      <c r="A214" s="162"/>
      <c r="B214" s="162"/>
      <c r="C214" s="9" t="s">
        <v>338</v>
      </c>
      <c r="D214" s="100">
        <v>391</v>
      </c>
      <c r="E214" s="110">
        <v>11748000</v>
      </c>
      <c r="F214" s="110">
        <v>1615000</v>
      </c>
      <c r="G214" s="110"/>
      <c r="H214" s="114">
        <f t="shared" si="55"/>
        <v>13363000</v>
      </c>
      <c r="I214" s="110">
        <f>3424000-F214</f>
        <v>1809000</v>
      </c>
      <c r="J214" s="110"/>
      <c r="K214" s="114">
        <f t="shared" si="56"/>
        <v>15172000</v>
      </c>
      <c r="M214" s="114">
        <f t="shared" si="57"/>
        <v>15172000</v>
      </c>
    </row>
    <row r="215" spans="1:13" ht="15.75">
      <c r="A215" s="162"/>
      <c r="B215" s="162"/>
      <c r="C215" s="9" t="s">
        <v>339</v>
      </c>
      <c r="D215" s="100">
        <v>392</v>
      </c>
      <c r="E215" s="110">
        <v>11977000</v>
      </c>
      <c r="F215" s="110">
        <v>833000</v>
      </c>
      <c r="G215" s="110"/>
      <c r="H215" s="114">
        <f t="shared" si="55"/>
        <v>12810000</v>
      </c>
      <c r="I215" s="110">
        <f>2677000-F215</f>
        <v>1844000</v>
      </c>
      <c r="J215" s="110"/>
      <c r="K215" s="114">
        <f t="shared" si="56"/>
        <v>14654000</v>
      </c>
      <c r="M215" s="114">
        <f t="shared" si="57"/>
        <v>14654000</v>
      </c>
    </row>
    <row r="216" spans="1:13" ht="15.75">
      <c r="A216" s="162"/>
      <c r="B216" s="162"/>
      <c r="C216" s="9" t="s">
        <v>340</v>
      </c>
      <c r="D216" s="100">
        <v>393</v>
      </c>
      <c r="E216" s="110">
        <v>850000</v>
      </c>
      <c r="F216" s="110">
        <v>23000</v>
      </c>
      <c r="G216" s="110"/>
      <c r="H216" s="114">
        <f t="shared" si="55"/>
        <v>873000</v>
      </c>
      <c r="I216" s="110">
        <f>154000-F216</f>
        <v>131000</v>
      </c>
      <c r="J216" s="110"/>
      <c r="K216" s="114">
        <f t="shared" si="56"/>
        <v>1004000</v>
      </c>
      <c r="M216" s="114">
        <f t="shared" si="57"/>
        <v>1004000</v>
      </c>
    </row>
    <row r="217" spans="1:13" ht="31.5">
      <c r="A217" s="162"/>
      <c r="B217" s="162"/>
      <c r="C217" s="9" t="s">
        <v>341</v>
      </c>
      <c r="D217" s="100">
        <v>394</v>
      </c>
      <c r="E217" s="110">
        <v>6346000</v>
      </c>
      <c r="F217" s="110">
        <v>164000</v>
      </c>
      <c r="G217" s="110"/>
      <c r="H217" s="114">
        <f t="shared" si="55"/>
        <v>6510000</v>
      </c>
      <c r="I217" s="110">
        <f>1141000-F217</f>
        <v>977000</v>
      </c>
      <c r="J217" s="110"/>
      <c r="K217" s="114">
        <f t="shared" si="56"/>
        <v>7487000</v>
      </c>
      <c r="M217" s="114">
        <f t="shared" si="57"/>
        <v>7487000</v>
      </c>
    </row>
    <row r="218" spans="1:13" ht="15.75">
      <c r="A218" s="162"/>
      <c r="B218" s="162"/>
      <c r="C218" s="9" t="s">
        <v>342</v>
      </c>
      <c r="D218" s="100">
        <v>395</v>
      </c>
      <c r="E218" s="110">
        <v>338000</v>
      </c>
      <c r="F218" s="110">
        <v>27000</v>
      </c>
      <c r="G218" s="110"/>
      <c r="H218" s="114">
        <f t="shared" si="55"/>
        <v>365000</v>
      </c>
      <c r="I218" s="110">
        <f>79000-F218</f>
        <v>52000</v>
      </c>
      <c r="J218" s="110"/>
      <c r="K218" s="114">
        <f t="shared" si="56"/>
        <v>417000</v>
      </c>
      <c r="M218" s="114">
        <f t="shared" si="57"/>
        <v>417000</v>
      </c>
    </row>
    <row r="219" spans="1:13" ht="15.75">
      <c r="A219" s="162"/>
      <c r="B219" s="162"/>
      <c r="C219" s="9" t="s">
        <v>343</v>
      </c>
      <c r="D219" s="100">
        <v>396</v>
      </c>
      <c r="E219" s="110">
        <v>3222000</v>
      </c>
      <c r="F219" s="110">
        <v>4000</v>
      </c>
      <c r="G219" s="110"/>
      <c r="H219" s="114">
        <f t="shared" si="55"/>
        <v>3226000</v>
      </c>
      <c r="I219" s="110">
        <f>500000-F219</f>
        <v>496000</v>
      </c>
      <c r="J219" s="110"/>
      <c r="K219" s="114">
        <f t="shared" si="56"/>
        <v>3722000</v>
      </c>
      <c r="M219" s="114">
        <f t="shared" si="57"/>
        <v>3722000</v>
      </c>
    </row>
    <row r="220" spans="1:13" ht="15.75">
      <c r="A220" s="162"/>
      <c r="B220" s="162"/>
      <c r="C220" s="9" t="s">
        <v>327</v>
      </c>
      <c r="D220" s="100">
        <v>397</v>
      </c>
      <c r="E220" s="110">
        <v>11412000</v>
      </c>
      <c r="F220" s="110">
        <v>1469000</v>
      </c>
      <c r="G220" s="110"/>
      <c r="H220" s="114">
        <f t="shared" si="55"/>
        <v>12881000</v>
      </c>
      <c r="I220" s="110">
        <f>3226000-F220</f>
        <v>1757000</v>
      </c>
      <c r="J220" s="110"/>
      <c r="K220" s="114">
        <f t="shared" si="56"/>
        <v>14638000</v>
      </c>
      <c r="M220" s="114">
        <f t="shared" si="57"/>
        <v>14638000</v>
      </c>
    </row>
    <row r="221" spans="1:13" ht="15.75">
      <c r="A221" s="162"/>
      <c r="B221" s="162"/>
      <c r="C221" s="9" t="s">
        <v>344</v>
      </c>
      <c r="D221" s="100">
        <v>398</v>
      </c>
      <c r="E221" s="110">
        <v>69000</v>
      </c>
      <c r="F221" s="110">
        <v>5000</v>
      </c>
      <c r="G221" s="110"/>
      <c r="H221" s="114">
        <f t="shared" si="55"/>
        <v>74000</v>
      </c>
      <c r="I221" s="110">
        <f>16000-F221</f>
        <v>11000</v>
      </c>
      <c r="J221" s="110"/>
      <c r="K221" s="114">
        <f t="shared" si="56"/>
        <v>85000</v>
      </c>
      <c r="M221" s="114">
        <f t="shared" si="57"/>
        <v>85000</v>
      </c>
    </row>
    <row r="222" spans="1:13" ht="15.75">
      <c r="A222" s="162"/>
      <c r="B222" s="162"/>
      <c r="C222" s="9" t="s">
        <v>345</v>
      </c>
      <c r="D222" s="100">
        <v>399</v>
      </c>
      <c r="E222" s="110">
        <v>0</v>
      </c>
      <c r="F222" s="110"/>
      <c r="G222" s="110"/>
      <c r="H222" s="114">
        <f t="shared" si="55"/>
        <v>0</v>
      </c>
      <c r="I222" s="110">
        <v>0</v>
      </c>
      <c r="J222" s="110"/>
      <c r="K222" s="114">
        <f t="shared" si="56"/>
        <v>0</v>
      </c>
      <c r="M222" s="114">
        <f t="shared" si="57"/>
        <v>0</v>
      </c>
    </row>
    <row r="223" spans="1:13" ht="15.75">
      <c r="A223" s="162"/>
      <c r="B223" s="163"/>
      <c r="C223" s="184" t="s">
        <v>157</v>
      </c>
      <c r="D223" s="186"/>
      <c r="E223" s="118">
        <f>SUM(E212:E222)</f>
        <v>77450000</v>
      </c>
      <c r="F223" s="118">
        <f t="shared" ref="F223:M223" si="58">SUM(F212:F222)</f>
        <v>16403000</v>
      </c>
      <c r="G223" s="118">
        <f t="shared" si="58"/>
        <v>1000</v>
      </c>
      <c r="H223" s="118">
        <f t="shared" si="58"/>
        <v>93854000</v>
      </c>
      <c r="I223" s="118">
        <f t="shared" si="58"/>
        <v>11926000</v>
      </c>
      <c r="J223" s="118">
        <f t="shared" si="58"/>
        <v>0</v>
      </c>
      <c r="K223" s="118">
        <f t="shared" si="58"/>
        <v>105780000</v>
      </c>
      <c r="L223" s="118">
        <f t="shared" si="58"/>
        <v>0</v>
      </c>
      <c r="M223" s="118">
        <f t="shared" si="58"/>
        <v>105780000</v>
      </c>
    </row>
    <row r="224" spans="1:13" ht="15.75">
      <c r="A224" s="163"/>
      <c r="B224" s="187" t="s">
        <v>158</v>
      </c>
      <c r="C224" s="188"/>
      <c r="D224" s="189"/>
      <c r="E224" s="120">
        <f>E174+E187+E196+E211+E223</f>
        <v>605131000</v>
      </c>
      <c r="F224" s="120">
        <f t="shared" ref="F224:M224" si="59">F174+F187+F196+F211+F223</f>
        <v>34371000</v>
      </c>
      <c r="G224" s="120">
        <f t="shared" si="59"/>
        <v>1000</v>
      </c>
      <c r="H224" s="120">
        <f t="shared" si="59"/>
        <v>639503000</v>
      </c>
      <c r="I224" s="120">
        <f t="shared" si="59"/>
        <v>23050000</v>
      </c>
      <c r="J224" s="120">
        <f t="shared" si="59"/>
        <v>0</v>
      </c>
      <c r="K224" s="120">
        <f t="shared" si="59"/>
        <v>662553000</v>
      </c>
      <c r="L224" s="120">
        <f t="shared" si="59"/>
        <v>0</v>
      </c>
      <c r="M224" s="120">
        <f t="shared" si="59"/>
        <v>662553000</v>
      </c>
    </row>
    <row r="225" spans="1:13" ht="15.75">
      <c r="A225" s="161" t="s">
        <v>33</v>
      </c>
      <c r="B225" s="174" t="s">
        <v>29</v>
      </c>
      <c r="C225" s="168"/>
      <c r="D225" s="105">
        <v>101.1</v>
      </c>
      <c r="E225" s="110">
        <v>0</v>
      </c>
      <c r="H225" s="114">
        <f t="shared" si="55"/>
        <v>0</v>
      </c>
      <c r="K225" s="114">
        <f t="shared" si="56"/>
        <v>0</v>
      </c>
      <c r="M225" s="114">
        <f t="shared" si="57"/>
        <v>0</v>
      </c>
    </row>
    <row r="226" spans="1:13" ht="15.75">
      <c r="A226" s="162"/>
      <c r="B226" s="174" t="s">
        <v>159</v>
      </c>
      <c r="C226" s="168" t="s">
        <v>159</v>
      </c>
      <c r="D226" s="106">
        <v>101.1</v>
      </c>
      <c r="E226" s="110">
        <v>0</v>
      </c>
      <c r="H226" s="114">
        <f t="shared" si="55"/>
        <v>0</v>
      </c>
      <c r="K226" s="114">
        <f t="shared" si="56"/>
        <v>0</v>
      </c>
      <c r="M226" s="114">
        <f t="shared" si="57"/>
        <v>0</v>
      </c>
    </row>
    <row r="227" spans="1:13" ht="15.75">
      <c r="A227" s="162"/>
      <c r="B227" s="174" t="s">
        <v>30</v>
      </c>
      <c r="C227" s="168" t="s">
        <v>30</v>
      </c>
      <c r="D227" s="106">
        <v>101.1</v>
      </c>
      <c r="E227" s="110">
        <v>0</v>
      </c>
      <c r="H227" s="114">
        <f t="shared" si="55"/>
        <v>0</v>
      </c>
      <c r="K227" s="114">
        <f t="shared" si="56"/>
        <v>0</v>
      </c>
      <c r="M227" s="114">
        <f t="shared" si="57"/>
        <v>0</v>
      </c>
    </row>
    <row r="228" spans="1:13" ht="15.75">
      <c r="A228" s="162"/>
      <c r="B228" s="174" t="s">
        <v>31</v>
      </c>
      <c r="C228" s="168" t="s">
        <v>31</v>
      </c>
      <c r="D228" s="106">
        <v>101.1</v>
      </c>
      <c r="E228" s="110">
        <v>0</v>
      </c>
      <c r="H228" s="114">
        <f t="shared" si="55"/>
        <v>0</v>
      </c>
      <c r="K228" s="114">
        <f t="shared" si="56"/>
        <v>0</v>
      </c>
      <c r="M228" s="114">
        <f t="shared" si="57"/>
        <v>0</v>
      </c>
    </row>
    <row r="229" spans="1:13" ht="15.75">
      <c r="A229" s="162"/>
      <c r="B229" s="174" t="s">
        <v>32</v>
      </c>
      <c r="C229" s="168" t="s">
        <v>32</v>
      </c>
      <c r="D229" s="106">
        <v>101.1</v>
      </c>
      <c r="E229" s="110">
        <v>0</v>
      </c>
      <c r="H229" s="114">
        <f t="shared" si="55"/>
        <v>0</v>
      </c>
      <c r="K229" s="114">
        <f t="shared" si="56"/>
        <v>0</v>
      </c>
      <c r="M229" s="114">
        <f t="shared" si="57"/>
        <v>0</v>
      </c>
    </row>
    <row r="230" spans="1:13" ht="15.75">
      <c r="A230" s="163"/>
      <c r="B230" s="165" t="s">
        <v>34</v>
      </c>
      <c r="C230" s="157"/>
      <c r="D230" s="158"/>
      <c r="E230" s="120">
        <f>SUM(E225:E229)</f>
        <v>0</v>
      </c>
      <c r="F230" s="120">
        <f t="shared" ref="F230:M230" si="60">SUM(F225:F229)</f>
        <v>0</v>
      </c>
      <c r="G230" s="120">
        <f t="shared" si="60"/>
        <v>0</v>
      </c>
      <c r="H230" s="120">
        <f t="shared" si="60"/>
        <v>0</v>
      </c>
      <c r="I230" s="120">
        <f t="shared" si="60"/>
        <v>0</v>
      </c>
      <c r="J230" s="120">
        <f t="shared" si="60"/>
        <v>0</v>
      </c>
      <c r="K230" s="120">
        <f t="shared" si="60"/>
        <v>0</v>
      </c>
      <c r="L230" s="120">
        <f t="shared" si="60"/>
        <v>0</v>
      </c>
      <c r="M230" s="120">
        <f t="shared" si="60"/>
        <v>0</v>
      </c>
    </row>
    <row r="231" spans="1:13" ht="15.75">
      <c r="A231" s="161" t="s">
        <v>160</v>
      </c>
      <c r="B231" s="174" t="s">
        <v>29</v>
      </c>
      <c r="C231" s="168"/>
      <c r="D231" s="21">
        <v>104</v>
      </c>
      <c r="E231" s="110">
        <v>0</v>
      </c>
      <c r="H231" s="114">
        <f t="shared" si="55"/>
        <v>0</v>
      </c>
      <c r="K231" s="114">
        <f t="shared" si="56"/>
        <v>0</v>
      </c>
      <c r="M231" s="114">
        <f t="shared" si="57"/>
        <v>0</v>
      </c>
    </row>
    <row r="232" spans="1:13" ht="15.75">
      <c r="A232" s="162"/>
      <c r="B232" s="174" t="s">
        <v>159</v>
      </c>
      <c r="C232" s="168" t="s">
        <v>159</v>
      </c>
      <c r="D232" s="21">
        <v>104</v>
      </c>
      <c r="E232" s="110">
        <v>0</v>
      </c>
      <c r="H232" s="114">
        <f t="shared" si="55"/>
        <v>0</v>
      </c>
      <c r="K232" s="114">
        <f t="shared" si="56"/>
        <v>0</v>
      </c>
      <c r="M232" s="114">
        <f t="shared" si="57"/>
        <v>0</v>
      </c>
    </row>
    <row r="233" spans="1:13" ht="15.75">
      <c r="A233" s="162"/>
      <c r="B233" s="174" t="s">
        <v>30</v>
      </c>
      <c r="C233" s="168" t="s">
        <v>30</v>
      </c>
      <c r="D233" s="21">
        <v>104</v>
      </c>
      <c r="E233" s="110">
        <v>0</v>
      </c>
      <c r="H233" s="114">
        <f t="shared" si="55"/>
        <v>0</v>
      </c>
      <c r="K233" s="114">
        <f t="shared" si="56"/>
        <v>0</v>
      </c>
      <c r="M233" s="114">
        <f t="shared" si="57"/>
        <v>0</v>
      </c>
    </row>
    <row r="234" spans="1:13" ht="15.75">
      <c r="A234" s="162"/>
      <c r="B234" s="174" t="s">
        <v>31</v>
      </c>
      <c r="C234" s="168" t="s">
        <v>31</v>
      </c>
      <c r="D234" s="21">
        <v>104</v>
      </c>
      <c r="E234" s="110">
        <v>0</v>
      </c>
      <c r="H234" s="114">
        <f t="shared" si="55"/>
        <v>0</v>
      </c>
      <c r="K234" s="114">
        <f t="shared" si="56"/>
        <v>0</v>
      </c>
      <c r="M234" s="114">
        <f t="shared" si="57"/>
        <v>0</v>
      </c>
    </row>
    <row r="235" spans="1:13" ht="15.75">
      <c r="A235" s="162"/>
      <c r="B235" s="174" t="s">
        <v>32</v>
      </c>
      <c r="C235" s="168" t="s">
        <v>32</v>
      </c>
      <c r="D235" s="21">
        <v>104</v>
      </c>
      <c r="E235" s="110">
        <v>0</v>
      </c>
      <c r="H235" s="114">
        <f t="shared" si="55"/>
        <v>0</v>
      </c>
      <c r="K235" s="114">
        <f t="shared" si="56"/>
        <v>0</v>
      </c>
      <c r="M235" s="114">
        <f t="shared" si="57"/>
        <v>0</v>
      </c>
    </row>
    <row r="236" spans="1:13" ht="15.75">
      <c r="A236" s="163"/>
      <c r="B236" s="165" t="s">
        <v>161</v>
      </c>
      <c r="C236" s="157"/>
      <c r="D236" s="158"/>
      <c r="E236" s="120">
        <f>SUM(E231:E235)</f>
        <v>0</v>
      </c>
      <c r="F236" s="120">
        <f t="shared" ref="F236:M236" si="61">SUM(F231:F235)</f>
        <v>0</v>
      </c>
      <c r="G236" s="120">
        <f t="shared" si="61"/>
        <v>0</v>
      </c>
      <c r="H236" s="120">
        <f t="shared" si="61"/>
        <v>0</v>
      </c>
      <c r="I236" s="120">
        <f t="shared" si="61"/>
        <v>0</v>
      </c>
      <c r="J236" s="120">
        <f t="shared" si="61"/>
        <v>0</v>
      </c>
      <c r="K236" s="120">
        <f t="shared" si="61"/>
        <v>0</v>
      </c>
      <c r="L236" s="120">
        <f t="shared" si="61"/>
        <v>0</v>
      </c>
      <c r="M236" s="120">
        <f t="shared" si="61"/>
        <v>0</v>
      </c>
    </row>
    <row r="237" spans="1:13" ht="15.75">
      <c r="A237" s="161" t="s">
        <v>162</v>
      </c>
      <c r="B237" s="174" t="s">
        <v>29</v>
      </c>
      <c r="C237" s="168"/>
      <c r="D237" s="21">
        <v>105</v>
      </c>
      <c r="E237" s="110">
        <v>0</v>
      </c>
      <c r="H237" s="114">
        <f t="shared" si="55"/>
        <v>0</v>
      </c>
      <c r="K237" s="114">
        <f t="shared" si="56"/>
        <v>0</v>
      </c>
      <c r="M237" s="114">
        <f t="shared" si="57"/>
        <v>0</v>
      </c>
    </row>
    <row r="238" spans="1:13" ht="15.75">
      <c r="A238" s="162"/>
      <c r="B238" s="174" t="s">
        <v>159</v>
      </c>
      <c r="C238" s="168" t="s">
        <v>159</v>
      </c>
      <c r="D238" s="21">
        <v>105</v>
      </c>
      <c r="E238" s="110">
        <v>0</v>
      </c>
      <c r="H238" s="114">
        <f t="shared" si="55"/>
        <v>0</v>
      </c>
      <c r="K238" s="114">
        <f t="shared" si="56"/>
        <v>0</v>
      </c>
      <c r="M238" s="114">
        <f t="shared" si="57"/>
        <v>0</v>
      </c>
    </row>
    <row r="239" spans="1:13" ht="15.75">
      <c r="A239" s="162"/>
      <c r="B239" s="174" t="s">
        <v>30</v>
      </c>
      <c r="C239" s="168" t="s">
        <v>30</v>
      </c>
      <c r="D239" s="21">
        <v>105</v>
      </c>
      <c r="E239" s="110">
        <v>0</v>
      </c>
      <c r="H239" s="114">
        <f t="shared" si="55"/>
        <v>0</v>
      </c>
      <c r="K239" s="114">
        <f t="shared" si="56"/>
        <v>0</v>
      </c>
      <c r="M239" s="114">
        <f t="shared" si="57"/>
        <v>0</v>
      </c>
    </row>
    <row r="240" spans="1:13" ht="15.75">
      <c r="A240" s="162"/>
      <c r="B240" s="174" t="s">
        <v>31</v>
      </c>
      <c r="C240" s="168" t="s">
        <v>31</v>
      </c>
      <c r="D240" s="21">
        <v>105</v>
      </c>
      <c r="E240" s="110">
        <v>0</v>
      </c>
      <c r="H240" s="114">
        <f t="shared" si="55"/>
        <v>0</v>
      </c>
      <c r="K240" s="114">
        <f t="shared" si="56"/>
        <v>0</v>
      </c>
      <c r="M240" s="114">
        <f t="shared" si="57"/>
        <v>0</v>
      </c>
    </row>
    <row r="241" spans="1:13" ht="15.75">
      <c r="A241" s="162"/>
      <c r="B241" s="174" t="s">
        <v>32</v>
      </c>
      <c r="C241" s="168" t="s">
        <v>32</v>
      </c>
      <c r="D241" s="21">
        <v>105</v>
      </c>
      <c r="E241" s="110">
        <v>0</v>
      </c>
      <c r="H241" s="114">
        <f t="shared" si="55"/>
        <v>0</v>
      </c>
      <c r="K241" s="114">
        <f t="shared" si="56"/>
        <v>0</v>
      </c>
      <c r="M241" s="114">
        <f t="shared" si="57"/>
        <v>0</v>
      </c>
    </row>
    <row r="242" spans="1:13" ht="15.75">
      <c r="A242" s="163"/>
      <c r="B242" s="165" t="s">
        <v>163</v>
      </c>
      <c r="C242" s="157"/>
      <c r="D242" s="158"/>
      <c r="E242" s="120">
        <f>SUM(E237:E241)</f>
        <v>0</v>
      </c>
      <c r="F242" s="120">
        <f t="shared" ref="F242:M242" si="62">SUM(F237:F241)</f>
        <v>0</v>
      </c>
      <c r="G242" s="120">
        <f t="shared" si="62"/>
        <v>0</v>
      </c>
      <c r="H242" s="120">
        <f t="shared" si="62"/>
        <v>0</v>
      </c>
      <c r="I242" s="120">
        <f t="shared" si="62"/>
        <v>0</v>
      </c>
      <c r="J242" s="120">
        <f t="shared" si="62"/>
        <v>0</v>
      </c>
      <c r="K242" s="120">
        <f t="shared" si="62"/>
        <v>0</v>
      </c>
      <c r="L242" s="120">
        <f t="shared" si="62"/>
        <v>0</v>
      </c>
      <c r="M242" s="120">
        <f t="shared" si="62"/>
        <v>0</v>
      </c>
    </row>
    <row r="243" spans="1:13" ht="15.75">
      <c r="A243" s="161" t="s">
        <v>35</v>
      </c>
      <c r="B243" s="174" t="s">
        <v>35</v>
      </c>
      <c r="C243" s="168"/>
      <c r="D243" s="21">
        <v>106</v>
      </c>
      <c r="E243" s="110">
        <v>0</v>
      </c>
      <c r="H243" s="114">
        <f t="shared" si="55"/>
        <v>0</v>
      </c>
      <c r="K243" s="114">
        <f t="shared" si="56"/>
        <v>0</v>
      </c>
      <c r="M243" s="114">
        <f t="shared" si="57"/>
        <v>0</v>
      </c>
    </row>
    <row r="244" spans="1:13" ht="15.75">
      <c r="A244" s="163"/>
      <c r="B244" s="165" t="s">
        <v>36</v>
      </c>
      <c r="C244" s="157"/>
      <c r="D244" s="158"/>
      <c r="E244" s="120">
        <f>SUM(E243)</f>
        <v>0</v>
      </c>
      <c r="F244" s="120">
        <f t="shared" ref="F244:M244" si="63">SUM(F243)</f>
        <v>0</v>
      </c>
      <c r="G244" s="120">
        <f t="shared" si="63"/>
        <v>0</v>
      </c>
      <c r="H244" s="120">
        <f t="shared" si="63"/>
        <v>0</v>
      </c>
      <c r="I244" s="120">
        <f t="shared" si="63"/>
        <v>0</v>
      </c>
      <c r="J244" s="120">
        <f t="shared" si="63"/>
        <v>0</v>
      </c>
      <c r="K244" s="120">
        <f t="shared" si="63"/>
        <v>0</v>
      </c>
      <c r="L244" s="120">
        <f t="shared" si="63"/>
        <v>0</v>
      </c>
      <c r="M244" s="120">
        <f t="shared" si="63"/>
        <v>0</v>
      </c>
    </row>
    <row r="245" spans="1:13" ht="15.75">
      <c r="A245" s="161" t="s">
        <v>37</v>
      </c>
      <c r="B245" s="174" t="s">
        <v>29</v>
      </c>
      <c r="C245" s="168"/>
      <c r="D245" s="21">
        <v>107</v>
      </c>
      <c r="E245" s="110">
        <v>0</v>
      </c>
      <c r="H245" s="114">
        <f t="shared" si="55"/>
        <v>0</v>
      </c>
      <c r="K245" s="114">
        <f t="shared" si="56"/>
        <v>0</v>
      </c>
      <c r="M245" s="114">
        <f t="shared" si="57"/>
        <v>0</v>
      </c>
    </row>
    <row r="246" spans="1:13" ht="15.75">
      <c r="A246" s="162"/>
      <c r="B246" s="174" t="s">
        <v>159</v>
      </c>
      <c r="C246" s="168" t="s">
        <v>159</v>
      </c>
      <c r="D246" s="21">
        <v>107</v>
      </c>
      <c r="E246" s="110">
        <v>0</v>
      </c>
      <c r="H246" s="114">
        <f t="shared" si="55"/>
        <v>0</v>
      </c>
      <c r="K246" s="114">
        <f t="shared" si="56"/>
        <v>0</v>
      </c>
      <c r="M246" s="114">
        <f t="shared" si="57"/>
        <v>0</v>
      </c>
    </row>
    <row r="247" spans="1:13" ht="15.75">
      <c r="A247" s="162"/>
      <c r="B247" s="174" t="s">
        <v>30</v>
      </c>
      <c r="C247" s="168" t="s">
        <v>30</v>
      </c>
      <c r="D247" s="21">
        <v>107</v>
      </c>
      <c r="E247" s="110">
        <v>0</v>
      </c>
      <c r="H247" s="114">
        <f t="shared" si="55"/>
        <v>0</v>
      </c>
      <c r="K247" s="114">
        <f t="shared" si="56"/>
        <v>0</v>
      </c>
      <c r="M247" s="114">
        <f t="shared" si="57"/>
        <v>0</v>
      </c>
    </row>
    <row r="248" spans="1:13" ht="15.75">
      <c r="A248" s="162"/>
      <c r="B248" s="174" t="s">
        <v>31</v>
      </c>
      <c r="C248" s="168" t="s">
        <v>31</v>
      </c>
      <c r="D248" s="21">
        <v>107</v>
      </c>
      <c r="E248" s="110">
        <v>0</v>
      </c>
      <c r="H248" s="114">
        <f t="shared" si="55"/>
        <v>0</v>
      </c>
      <c r="K248" s="114">
        <f t="shared" si="56"/>
        <v>0</v>
      </c>
      <c r="M248" s="114">
        <f t="shared" si="57"/>
        <v>0</v>
      </c>
    </row>
    <row r="249" spans="1:13" ht="15.75">
      <c r="A249" s="162"/>
      <c r="B249" s="174" t="s">
        <v>32</v>
      </c>
      <c r="C249" s="168" t="s">
        <v>32</v>
      </c>
      <c r="D249" s="21">
        <v>107</v>
      </c>
      <c r="E249" s="110">
        <v>0</v>
      </c>
      <c r="H249" s="114">
        <f t="shared" si="55"/>
        <v>0</v>
      </c>
      <c r="K249" s="114">
        <f t="shared" si="56"/>
        <v>0</v>
      </c>
      <c r="M249" s="114">
        <f t="shared" si="57"/>
        <v>0</v>
      </c>
    </row>
    <row r="250" spans="1:13" ht="15.75">
      <c r="A250" s="163"/>
      <c r="B250" s="165" t="s">
        <v>38</v>
      </c>
      <c r="C250" s="157"/>
      <c r="D250" s="158"/>
      <c r="E250" s="120">
        <f>SUM(E245:E249)</f>
        <v>0</v>
      </c>
      <c r="F250" s="120">
        <f t="shared" ref="F250:M250" si="64">SUM(F245:F249)</f>
        <v>0</v>
      </c>
      <c r="G250" s="120">
        <f t="shared" si="64"/>
        <v>0</v>
      </c>
      <c r="H250" s="120">
        <f t="shared" si="64"/>
        <v>0</v>
      </c>
      <c r="I250" s="120">
        <f t="shared" si="64"/>
        <v>0</v>
      </c>
      <c r="J250" s="120">
        <f t="shared" si="64"/>
        <v>0</v>
      </c>
      <c r="K250" s="120">
        <f t="shared" si="64"/>
        <v>0</v>
      </c>
      <c r="L250" s="120">
        <f t="shared" si="64"/>
        <v>0</v>
      </c>
      <c r="M250" s="120">
        <f t="shared" si="64"/>
        <v>0</v>
      </c>
    </row>
    <row r="251" spans="1:13" ht="15.75">
      <c r="A251" s="161" t="s">
        <v>164</v>
      </c>
      <c r="B251" s="174" t="s">
        <v>29</v>
      </c>
      <c r="C251" s="168"/>
      <c r="D251" s="105">
        <v>108</v>
      </c>
      <c r="H251" s="114">
        <f t="shared" si="55"/>
        <v>0</v>
      </c>
      <c r="K251" s="114">
        <f t="shared" si="56"/>
        <v>0</v>
      </c>
      <c r="M251" s="114">
        <f t="shared" si="57"/>
        <v>0</v>
      </c>
    </row>
    <row r="252" spans="1:13" ht="15.75">
      <c r="A252" s="162"/>
      <c r="B252" s="174" t="s">
        <v>159</v>
      </c>
      <c r="C252" s="168" t="s">
        <v>159</v>
      </c>
      <c r="D252" s="105">
        <v>108</v>
      </c>
      <c r="E252" s="110">
        <f>-11051000-E258</f>
        <v>-10933000</v>
      </c>
      <c r="F252" s="110">
        <v>-431000</v>
      </c>
      <c r="G252" s="110"/>
      <c r="H252" s="114">
        <f t="shared" si="55"/>
        <v>-11364000</v>
      </c>
      <c r="I252" s="110">
        <f>-431000-F252</f>
        <v>0</v>
      </c>
      <c r="J252" s="110"/>
      <c r="K252" s="114">
        <f t="shared" si="56"/>
        <v>-11364000</v>
      </c>
      <c r="M252" s="114">
        <f t="shared" si="57"/>
        <v>-11364000</v>
      </c>
    </row>
    <row r="253" spans="1:13" ht="15.75">
      <c r="A253" s="162"/>
      <c r="B253" s="174" t="s">
        <v>30</v>
      </c>
      <c r="C253" s="168" t="s">
        <v>30</v>
      </c>
      <c r="D253" s="105">
        <v>108</v>
      </c>
      <c r="E253" s="110">
        <v>0</v>
      </c>
      <c r="F253" s="110"/>
      <c r="G253" s="110"/>
      <c r="H253" s="114">
        <f t="shared" si="55"/>
        <v>0</v>
      </c>
      <c r="I253" s="110"/>
      <c r="J253" s="110"/>
      <c r="K253" s="114">
        <f t="shared" si="56"/>
        <v>0</v>
      </c>
      <c r="M253" s="114">
        <f t="shared" si="57"/>
        <v>0</v>
      </c>
    </row>
    <row r="254" spans="1:13" ht="15.75">
      <c r="A254" s="162"/>
      <c r="B254" s="174" t="s">
        <v>31</v>
      </c>
      <c r="C254" s="168" t="s">
        <v>31</v>
      </c>
      <c r="D254" s="105">
        <v>108</v>
      </c>
      <c r="E254" s="110">
        <v>-145402000</v>
      </c>
      <c r="F254" s="110">
        <v>-3208000</v>
      </c>
      <c r="G254" s="110"/>
      <c r="H254" s="114">
        <f t="shared" si="55"/>
        <v>-148610000</v>
      </c>
      <c r="I254" s="110">
        <f>-2931000-F254</f>
        <v>277000</v>
      </c>
      <c r="J254" s="110"/>
      <c r="K254" s="114">
        <f t="shared" si="56"/>
        <v>-148333000</v>
      </c>
      <c r="M254" s="114">
        <f t="shared" si="57"/>
        <v>-148333000</v>
      </c>
    </row>
    <row r="255" spans="1:13" ht="15.75">
      <c r="A255" s="162"/>
      <c r="B255" s="174" t="s">
        <v>32</v>
      </c>
      <c r="C255" s="168" t="s">
        <v>32</v>
      </c>
      <c r="D255" s="105">
        <v>108</v>
      </c>
      <c r="E255" s="110">
        <v>-22689000</v>
      </c>
      <c r="F255" s="110">
        <v>-1542000</v>
      </c>
      <c r="G255" s="110"/>
      <c r="H255" s="114">
        <f t="shared" si="55"/>
        <v>-24231000</v>
      </c>
      <c r="I255" s="110">
        <f>-2039000-F255</f>
        <v>-497000</v>
      </c>
      <c r="J255" s="110"/>
      <c r="K255" s="114">
        <f t="shared" si="56"/>
        <v>-24728000</v>
      </c>
      <c r="M255" s="114">
        <f t="shared" si="57"/>
        <v>-24728000</v>
      </c>
    </row>
    <row r="256" spans="1:13" ht="15.75">
      <c r="A256" s="163"/>
      <c r="B256" s="165" t="s">
        <v>346</v>
      </c>
      <c r="C256" s="157"/>
      <c r="D256" s="158"/>
      <c r="E256" s="120">
        <f>SUM(E251:E255)</f>
        <v>-179024000</v>
      </c>
      <c r="F256" s="120">
        <f t="shared" ref="F256:M256" si="65">SUM(F251:F255)</f>
        <v>-5181000</v>
      </c>
      <c r="G256" s="120">
        <f t="shared" si="65"/>
        <v>0</v>
      </c>
      <c r="H256" s="120">
        <f t="shared" si="65"/>
        <v>-184205000</v>
      </c>
      <c r="I256" s="120">
        <f t="shared" si="65"/>
        <v>-220000</v>
      </c>
      <c r="J256" s="120">
        <f t="shared" si="65"/>
        <v>0</v>
      </c>
      <c r="K256" s="120">
        <f t="shared" si="65"/>
        <v>-184425000</v>
      </c>
      <c r="L256" s="120">
        <f t="shared" si="65"/>
        <v>0</v>
      </c>
      <c r="M256" s="120">
        <f t="shared" si="65"/>
        <v>-184425000</v>
      </c>
    </row>
    <row r="257" spans="1:13" ht="15.75">
      <c r="A257" s="161" t="s">
        <v>165</v>
      </c>
      <c r="B257" s="174" t="s">
        <v>29</v>
      </c>
      <c r="C257" s="168"/>
      <c r="D257" s="20">
        <v>111</v>
      </c>
      <c r="E257" s="110">
        <v>-9028000</v>
      </c>
      <c r="F257" s="110">
        <v>-796000</v>
      </c>
      <c r="G257" s="110"/>
      <c r="H257" s="114">
        <f t="shared" si="55"/>
        <v>-9824000</v>
      </c>
      <c r="I257" s="110">
        <f>-796000-F257</f>
        <v>0</v>
      </c>
      <c r="J257" s="110"/>
      <c r="K257" s="114">
        <f t="shared" si="56"/>
        <v>-9824000</v>
      </c>
      <c r="M257" s="114">
        <f t="shared" si="57"/>
        <v>-9824000</v>
      </c>
    </row>
    <row r="258" spans="1:13" ht="15.75">
      <c r="A258" s="162"/>
      <c r="B258" s="174" t="s">
        <v>159</v>
      </c>
      <c r="C258" s="168" t="s">
        <v>159</v>
      </c>
      <c r="D258" s="20">
        <v>111</v>
      </c>
      <c r="E258" s="110">
        <v>-118000</v>
      </c>
      <c r="F258" s="110"/>
      <c r="G258" s="110"/>
      <c r="H258" s="114">
        <f t="shared" si="55"/>
        <v>-118000</v>
      </c>
      <c r="I258" s="110"/>
      <c r="J258" s="110"/>
      <c r="K258" s="114">
        <f t="shared" si="56"/>
        <v>-118000</v>
      </c>
      <c r="M258" s="114">
        <f t="shared" si="57"/>
        <v>-118000</v>
      </c>
    </row>
    <row r="259" spans="1:13" ht="15.75">
      <c r="A259" s="162"/>
      <c r="B259" s="174" t="s">
        <v>30</v>
      </c>
      <c r="C259" s="168" t="s">
        <v>30</v>
      </c>
      <c r="D259" s="20">
        <v>111</v>
      </c>
      <c r="E259" s="110">
        <v>0</v>
      </c>
      <c r="F259" s="110"/>
      <c r="G259" s="110"/>
      <c r="H259" s="114">
        <f t="shared" si="55"/>
        <v>0</v>
      </c>
      <c r="I259" s="110"/>
      <c r="J259" s="110"/>
      <c r="K259" s="114">
        <f t="shared" si="56"/>
        <v>0</v>
      </c>
      <c r="M259" s="114">
        <f t="shared" si="57"/>
        <v>0</v>
      </c>
    </row>
    <row r="260" spans="1:13" ht="15.75">
      <c r="A260" s="162"/>
      <c r="B260" s="174" t="s">
        <v>31</v>
      </c>
      <c r="C260" s="168" t="s">
        <v>31</v>
      </c>
      <c r="D260" s="20">
        <v>111</v>
      </c>
      <c r="E260" s="110">
        <v>0</v>
      </c>
      <c r="F260" s="110"/>
      <c r="G260" s="110"/>
      <c r="H260" s="114">
        <f t="shared" si="55"/>
        <v>0</v>
      </c>
      <c r="I260" s="110"/>
      <c r="J260" s="110"/>
      <c r="K260" s="114">
        <f t="shared" si="56"/>
        <v>0</v>
      </c>
      <c r="M260" s="114">
        <f t="shared" si="57"/>
        <v>0</v>
      </c>
    </row>
    <row r="261" spans="1:13" ht="15.75">
      <c r="A261" s="162"/>
      <c r="B261" s="174" t="s">
        <v>32</v>
      </c>
      <c r="C261" s="168" t="s">
        <v>32</v>
      </c>
      <c r="D261" s="20">
        <v>111</v>
      </c>
      <c r="E261" s="110">
        <v>-637000</v>
      </c>
      <c r="F261" s="110"/>
      <c r="G261" s="110"/>
      <c r="H261" s="114">
        <f t="shared" si="55"/>
        <v>-637000</v>
      </c>
      <c r="I261" s="110"/>
      <c r="J261" s="110"/>
      <c r="K261" s="114">
        <f t="shared" si="56"/>
        <v>-637000</v>
      </c>
      <c r="M261" s="114">
        <f t="shared" si="57"/>
        <v>-637000</v>
      </c>
    </row>
    <row r="262" spans="1:13" ht="15.75">
      <c r="A262" s="163"/>
      <c r="B262" s="165" t="s">
        <v>347</v>
      </c>
      <c r="C262" s="157"/>
      <c r="D262" s="158"/>
      <c r="E262" s="120">
        <f>SUM(E257:E261)</f>
        <v>-9783000</v>
      </c>
      <c r="F262" s="120">
        <f t="shared" ref="F262:M262" si="66">SUM(F257:F261)</f>
        <v>-796000</v>
      </c>
      <c r="G262" s="120">
        <f t="shared" si="66"/>
        <v>0</v>
      </c>
      <c r="H262" s="120">
        <f t="shared" si="66"/>
        <v>-10579000</v>
      </c>
      <c r="I262" s="120">
        <f t="shared" si="66"/>
        <v>0</v>
      </c>
      <c r="J262" s="120">
        <f t="shared" si="66"/>
        <v>0</v>
      </c>
      <c r="K262" s="120">
        <f t="shared" si="66"/>
        <v>-10579000</v>
      </c>
      <c r="L262" s="120">
        <f t="shared" si="66"/>
        <v>0</v>
      </c>
      <c r="M262" s="120">
        <f t="shared" si="66"/>
        <v>-10579000</v>
      </c>
    </row>
    <row r="263" spans="1:13" ht="15.75">
      <c r="A263" s="161" t="s">
        <v>187</v>
      </c>
      <c r="B263" s="174" t="s">
        <v>39</v>
      </c>
      <c r="C263" s="168"/>
      <c r="D263" s="21">
        <v>114</v>
      </c>
      <c r="E263" s="110">
        <v>0</v>
      </c>
      <c r="H263" s="114">
        <f t="shared" si="55"/>
        <v>0</v>
      </c>
      <c r="K263" s="114">
        <f t="shared" si="56"/>
        <v>0</v>
      </c>
      <c r="M263" s="114">
        <f t="shared" si="57"/>
        <v>0</v>
      </c>
    </row>
    <row r="264" spans="1:13" ht="15.75">
      <c r="A264" s="163"/>
      <c r="B264" s="165"/>
      <c r="C264" s="157"/>
      <c r="D264" s="158"/>
      <c r="E264" s="120">
        <f>SUM(E263)</f>
        <v>0</v>
      </c>
      <c r="F264" s="120">
        <f t="shared" ref="F264:M264" si="67">SUM(F263)</f>
        <v>0</v>
      </c>
      <c r="G264" s="120">
        <f t="shared" si="67"/>
        <v>0</v>
      </c>
      <c r="H264" s="120">
        <f t="shared" si="67"/>
        <v>0</v>
      </c>
      <c r="I264" s="120">
        <f t="shared" si="67"/>
        <v>0</v>
      </c>
      <c r="J264" s="120">
        <f t="shared" si="67"/>
        <v>0</v>
      </c>
      <c r="K264" s="120">
        <f t="shared" si="67"/>
        <v>0</v>
      </c>
      <c r="L264" s="120">
        <f t="shared" si="67"/>
        <v>0</v>
      </c>
      <c r="M264" s="120">
        <f t="shared" si="67"/>
        <v>0</v>
      </c>
    </row>
    <row r="265" spans="1:13" ht="15.75">
      <c r="A265" s="161" t="s">
        <v>188</v>
      </c>
      <c r="B265" s="174" t="s">
        <v>188</v>
      </c>
      <c r="C265" s="168"/>
      <c r="D265" s="21">
        <v>115</v>
      </c>
      <c r="E265" s="110">
        <v>0</v>
      </c>
      <c r="H265" s="114">
        <f t="shared" si="55"/>
        <v>0</v>
      </c>
      <c r="K265" s="114">
        <f t="shared" si="56"/>
        <v>0</v>
      </c>
      <c r="M265" s="114">
        <f t="shared" si="57"/>
        <v>0</v>
      </c>
    </row>
    <row r="266" spans="1:13" ht="15.75">
      <c r="A266" s="163"/>
      <c r="B266" s="165" t="s">
        <v>348</v>
      </c>
      <c r="C266" s="157"/>
      <c r="D266" s="158"/>
      <c r="E266" s="120">
        <f>SUM(E265)</f>
        <v>0</v>
      </c>
      <c r="F266" s="120">
        <f t="shared" ref="F266:M266" si="68">SUM(F265)</f>
        <v>0</v>
      </c>
      <c r="G266" s="120">
        <f t="shared" si="68"/>
        <v>0</v>
      </c>
      <c r="H266" s="120">
        <f t="shared" si="68"/>
        <v>0</v>
      </c>
      <c r="I266" s="120">
        <f t="shared" si="68"/>
        <v>0</v>
      </c>
      <c r="J266" s="120">
        <f t="shared" si="68"/>
        <v>0</v>
      </c>
      <c r="K266" s="120">
        <f t="shared" si="68"/>
        <v>0</v>
      </c>
      <c r="L266" s="120">
        <f t="shared" si="68"/>
        <v>0</v>
      </c>
      <c r="M266" s="120">
        <f t="shared" si="68"/>
        <v>0</v>
      </c>
    </row>
    <row r="267" spans="1:13" ht="15.75">
      <c r="A267" s="161" t="s">
        <v>166</v>
      </c>
      <c r="B267" s="169" t="s">
        <v>167</v>
      </c>
      <c r="C267" s="170"/>
      <c r="D267" s="123">
        <v>117.1</v>
      </c>
      <c r="E267" s="110">
        <v>3960000</v>
      </c>
      <c r="H267" s="114">
        <f t="shared" si="55"/>
        <v>3960000</v>
      </c>
      <c r="K267" s="114">
        <f t="shared" si="56"/>
        <v>3960000</v>
      </c>
      <c r="M267" s="114">
        <f t="shared" si="57"/>
        <v>3960000</v>
      </c>
    </row>
    <row r="268" spans="1:13" ht="15.75">
      <c r="A268" s="162"/>
      <c r="B268" s="169" t="s">
        <v>168</v>
      </c>
      <c r="C268" s="170"/>
      <c r="D268" s="123">
        <v>117.2</v>
      </c>
      <c r="E268" s="110">
        <v>0</v>
      </c>
      <c r="H268" s="114">
        <f t="shared" si="55"/>
        <v>0</v>
      </c>
      <c r="K268" s="114">
        <f t="shared" si="56"/>
        <v>0</v>
      </c>
      <c r="M268" s="114">
        <f t="shared" si="57"/>
        <v>0</v>
      </c>
    </row>
    <row r="269" spans="1:13" ht="15.75">
      <c r="A269" s="162"/>
      <c r="B269" s="169" t="s">
        <v>169</v>
      </c>
      <c r="C269" s="170"/>
      <c r="D269" s="123">
        <v>117.3</v>
      </c>
      <c r="E269" s="110">
        <v>4395000</v>
      </c>
      <c r="H269" s="114">
        <f t="shared" si="55"/>
        <v>4395000</v>
      </c>
      <c r="K269" s="114">
        <f t="shared" si="56"/>
        <v>4395000</v>
      </c>
      <c r="M269" s="114">
        <f t="shared" si="57"/>
        <v>4395000</v>
      </c>
    </row>
    <row r="270" spans="1:13" ht="15.75">
      <c r="A270" s="162"/>
      <c r="B270" s="169" t="s">
        <v>170</v>
      </c>
      <c r="C270" s="170"/>
      <c r="D270" s="123">
        <v>117.4</v>
      </c>
      <c r="E270" s="110">
        <v>0</v>
      </c>
      <c r="H270" s="114">
        <f t="shared" si="55"/>
        <v>0</v>
      </c>
      <c r="K270" s="114">
        <f t="shared" si="56"/>
        <v>0</v>
      </c>
      <c r="M270" s="114">
        <f t="shared" si="57"/>
        <v>0</v>
      </c>
    </row>
    <row r="271" spans="1:13" ht="15.75">
      <c r="A271" s="163"/>
      <c r="B271" s="171"/>
      <c r="C271" s="172"/>
      <c r="D271" s="173"/>
      <c r="E271" s="120">
        <f>SUM(E267:E270)</f>
        <v>8355000</v>
      </c>
      <c r="F271" s="120">
        <f t="shared" ref="F271:M271" si="69">SUM(F267:F270)</f>
        <v>0</v>
      </c>
      <c r="G271" s="120">
        <f t="shared" si="69"/>
        <v>0</v>
      </c>
      <c r="H271" s="120">
        <f t="shared" si="69"/>
        <v>8355000</v>
      </c>
      <c r="I271" s="120">
        <f t="shared" si="69"/>
        <v>0</v>
      </c>
      <c r="J271" s="120">
        <f t="shared" si="69"/>
        <v>0</v>
      </c>
      <c r="K271" s="120">
        <f t="shared" si="69"/>
        <v>8355000</v>
      </c>
      <c r="L271" s="120">
        <f t="shared" si="69"/>
        <v>0</v>
      </c>
      <c r="M271" s="120">
        <f t="shared" si="69"/>
        <v>8355000</v>
      </c>
    </row>
    <row r="272" spans="1:13" ht="15.75">
      <c r="A272" s="166" t="s">
        <v>349</v>
      </c>
      <c r="B272" s="166"/>
      <c r="C272" s="166"/>
      <c r="D272" s="167"/>
      <c r="E272" s="121">
        <f>E224+E230+E236+E242+E244+E250+E256+E262+E264+E266+E271</f>
        <v>424679000</v>
      </c>
      <c r="F272" s="121">
        <f t="shared" ref="F272:M272" si="70">F224+F230+F236+F242+F244+F250+F256+F262+F264+F266+F271</f>
        <v>28394000</v>
      </c>
      <c r="G272" s="121">
        <f t="shared" si="70"/>
        <v>1000</v>
      </c>
      <c r="H272" s="121">
        <f t="shared" si="70"/>
        <v>453074000</v>
      </c>
      <c r="I272" s="121">
        <f t="shared" si="70"/>
        <v>22830000</v>
      </c>
      <c r="J272" s="121">
        <f t="shared" si="70"/>
        <v>0</v>
      </c>
      <c r="K272" s="121">
        <f t="shared" si="70"/>
        <v>475904000</v>
      </c>
      <c r="L272" s="121">
        <f t="shared" si="70"/>
        <v>0</v>
      </c>
      <c r="M272" s="121">
        <f t="shared" si="70"/>
        <v>475904000</v>
      </c>
    </row>
    <row r="273" spans="1:13" ht="15.75">
      <c r="A273" s="161" t="s">
        <v>40</v>
      </c>
      <c r="B273" s="168" t="s">
        <v>40</v>
      </c>
      <c r="C273" s="168"/>
      <c r="D273" s="21">
        <v>165</v>
      </c>
      <c r="E273" s="110">
        <v>0</v>
      </c>
      <c r="H273" s="114">
        <f t="shared" si="55"/>
        <v>0</v>
      </c>
      <c r="K273" s="114">
        <f t="shared" si="56"/>
        <v>0</v>
      </c>
      <c r="M273" s="114">
        <f t="shared" si="57"/>
        <v>0</v>
      </c>
    </row>
    <row r="274" spans="1:13" ht="15.75">
      <c r="A274" s="162"/>
      <c r="B274" s="157" t="s">
        <v>350</v>
      </c>
      <c r="C274" s="157"/>
      <c r="D274" s="158"/>
      <c r="E274" s="120">
        <f>SUM(E273)</f>
        <v>0</v>
      </c>
      <c r="F274" s="120">
        <f t="shared" ref="F274:M274" si="71">SUM(F273)</f>
        <v>0</v>
      </c>
      <c r="G274" s="120">
        <f t="shared" si="71"/>
        <v>0</v>
      </c>
      <c r="H274" s="120">
        <f t="shared" si="71"/>
        <v>0</v>
      </c>
      <c r="I274" s="120">
        <f t="shared" si="71"/>
        <v>0</v>
      </c>
      <c r="J274" s="120">
        <f t="shared" si="71"/>
        <v>0</v>
      </c>
      <c r="K274" s="120">
        <f t="shared" si="71"/>
        <v>0</v>
      </c>
      <c r="L274" s="120">
        <f t="shared" si="71"/>
        <v>0</v>
      </c>
      <c r="M274" s="120">
        <f t="shared" si="71"/>
        <v>0</v>
      </c>
    </row>
    <row r="275" spans="1:13" ht="15.75">
      <c r="A275" s="163"/>
      <c r="B275" s="148" t="s">
        <v>41</v>
      </c>
      <c r="C275" s="149"/>
      <c r="D275" s="150"/>
      <c r="E275" s="121">
        <f>E274</f>
        <v>0</v>
      </c>
      <c r="F275" s="121">
        <f t="shared" ref="F275:M275" si="72">F274</f>
        <v>0</v>
      </c>
      <c r="G275" s="121">
        <f t="shared" si="72"/>
        <v>0</v>
      </c>
      <c r="H275" s="121">
        <f t="shared" si="72"/>
        <v>0</v>
      </c>
      <c r="I275" s="121">
        <f t="shared" si="72"/>
        <v>0</v>
      </c>
      <c r="J275" s="121">
        <f t="shared" si="72"/>
        <v>0</v>
      </c>
      <c r="K275" s="121">
        <f t="shared" si="72"/>
        <v>0</v>
      </c>
      <c r="L275" s="121">
        <f t="shared" si="72"/>
        <v>0</v>
      </c>
      <c r="M275" s="121">
        <f t="shared" si="72"/>
        <v>0</v>
      </c>
    </row>
    <row r="276" spans="1:13" ht="15.75">
      <c r="A276" s="161" t="s">
        <v>42</v>
      </c>
      <c r="B276" s="164" t="s">
        <v>43</v>
      </c>
      <c r="C276" s="164"/>
      <c r="D276" s="107">
        <v>182.3</v>
      </c>
      <c r="E276" s="110">
        <f>8605-305+8463700</f>
        <v>8472000</v>
      </c>
      <c r="F276" s="110"/>
      <c r="G276" s="110"/>
      <c r="H276" s="114">
        <f t="shared" si="55"/>
        <v>8472000</v>
      </c>
      <c r="I276" s="110">
        <f>95000-F276</f>
        <v>95000</v>
      </c>
      <c r="J276" s="110"/>
      <c r="K276" s="114">
        <f t="shared" si="56"/>
        <v>8567000</v>
      </c>
      <c r="M276" s="114">
        <f t="shared" si="57"/>
        <v>8567000</v>
      </c>
    </row>
    <row r="277" spans="1:13" ht="15.75">
      <c r="A277" s="162"/>
      <c r="B277" s="164" t="s">
        <v>44</v>
      </c>
      <c r="C277" s="164" t="s">
        <v>44</v>
      </c>
      <c r="D277" s="22">
        <v>186</v>
      </c>
      <c r="E277" s="110">
        <v>0</v>
      </c>
      <c r="F277" s="110"/>
      <c r="G277" s="110"/>
      <c r="H277" s="114">
        <f t="shared" ref="H277:H303" si="73">SUM(E277:G277)</f>
        <v>0</v>
      </c>
      <c r="I277" s="110"/>
      <c r="J277" s="110"/>
      <c r="K277" s="114">
        <f t="shared" ref="K277:K303" si="74">SUM(H277:J277)</f>
        <v>0</v>
      </c>
      <c r="M277" s="114">
        <f t="shared" ref="M277:M303" si="75">SUM(K277:L277)</f>
        <v>0</v>
      </c>
    </row>
    <row r="278" spans="1:13" ht="15.75">
      <c r="A278" s="162"/>
      <c r="B278" s="164" t="s">
        <v>45</v>
      </c>
      <c r="C278" s="164" t="s">
        <v>45</v>
      </c>
      <c r="D278" s="22">
        <v>190</v>
      </c>
      <c r="E278" s="110">
        <v>0</v>
      </c>
      <c r="F278" s="110"/>
      <c r="G278" s="110"/>
      <c r="H278" s="114">
        <f t="shared" si="73"/>
        <v>0</v>
      </c>
      <c r="I278" s="110"/>
      <c r="J278" s="110"/>
      <c r="K278" s="114">
        <f t="shared" si="74"/>
        <v>0</v>
      </c>
      <c r="M278" s="114">
        <f t="shared" si="75"/>
        <v>0</v>
      </c>
    </row>
    <row r="279" spans="1:13" ht="15.75">
      <c r="A279" s="162"/>
      <c r="B279" s="165" t="s">
        <v>171</v>
      </c>
      <c r="C279" s="157"/>
      <c r="D279" s="158"/>
      <c r="E279" s="120">
        <f>SUM(E276:E278)</f>
        <v>8472000</v>
      </c>
      <c r="F279" s="120">
        <f t="shared" ref="F279:M279" si="76">SUM(F276:F278)</f>
        <v>0</v>
      </c>
      <c r="G279" s="120">
        <f t="shared" si="76"/>
        <v>0</v>
      </c>
      <c r="H279" s="120">
        <f t="shared" si="76"/>
        <v>8472000</v>
      </c>
      <c r="I279" s="120">
        <f t="shared" si="76"/>
        <v>95000</v>
      </c>
      <c r="J279" s="120">
        <f t="shared" si="76"/>
        <v>0</v>
      </c>
      <c r="K279" s="120">
        <f t="shared" si="76"/>
        <v>8567000</v>
      </c>
      <c r="L279" s="120">
        <f t="shared" si="76"/>
        <v>0</v>
      </c>
      <c r="M279" s="120">
        <f t="shared" si="76"/>
        <v>8567000</v>
      </c>
    </row>
    <row r="280" spans="1:13" ht="15.75">
      <c r="A280" s="163"/>
      <c r="B280" s="148" t="s">
        <v>171</v>
      </c>
      <c r="C280" s="149"/>
      <c r="D280" s="150"/>
      <c r="E280" s="121">
        <f>E279</f>
        <v>8472000</v>
      </c>
      <c r="F280" s="121">
        <f t="shared" ref="F280:M280" si="77">F279</f>
        <v>0</v>
      </c>
      <c r="G280" s="121">
        <f t="shared" si="77"/>
        <v>0</v>
      </c>
      <c r="H280" s="121">
        <f t="shared" si="77"/>
        <v>8472000</v>
      </c>
      <c r="I280" s="121">
        <f t="shared" si="77"/>
        <v>95000</v>
      </c>
      <c r="J280" s="121">
        <f t="shared" si="77"/>
        <v>0</v>
      </c>
      <c r="K280" s="121">
        <f t="shared" si="77"/>
        <v>8567000</v>
      </c>
      <c r="L280" s="121">
        <f t="shared" si="77"/>
        <v>0</v>
      </c>
      <c r="M280" s="121">
        <f t="shared" si="77"/>
        <v>8567000</v>
      </c>
    </row>
    <row r="281" spans="1:13" ht="15.75">
      <c r="A281" s="153" t="s">
        <v>46</v>
      </c>
      <c r="B281" s="164" t="s">
        <v>47</v>
      </c>
      <c r="C281" s="164"/>
      <c r="D281" s="107">
        <v>228.1</v>
      </c>
      <c r="E281" s="110">
        <v>0</v>
      </c>
      <c r="H281" s="114">
        <f t="shared" si="73"/>
        <v>0</v>
      </c>
      <c r="K281" s="114">
        <f t="shared" si="74"/>
        <v>0</v>
      </c>
      <c r="M281" s="114">
        <f t="shared" si="75"/>
        <v>0</v>
      </c>
    </row>
    <row r="282" spans="1:13" ht="15.75">
      <c r="A282" s="154"/>
      <c r="B282" s="164" t="s">
        <v>48</v>
      </c>
      <c r="C282" s="164" t="s">
        <v>48</v>
      </c>
      <c r="D282" s="107">
        <v>228.2</v>
      </c>
      <c r="E282" s="110">
        <v>0</v>
      </c>
      <c r="H282" s="114">
        <f t="shared" si="73"/>
        <v>0</v>
      </c>
      <c r="K282" s="114">
        <f t="shared" si="74"/>
        <v>0</v>
      </c>
      <c r="M282" s="114">
        <f t="shared" si="75"/>
        <v>0</v>
      </c>
    </row>
    <row r="283" spans="1:13" ht="15.75">
      <c r="A283" s="154"/>
      <c r="B283" s="164" t="s">
        <v>49</v>
      </c>
      <c r="C283" s="164" t="s">
        <v>49</v>
      </c>
      <c r="D283" s="107">
        <v>228.3</v>
      </c>
      <c r="E283" s="110">
        <v>0</v>
      </c>
      <c r="H283" s="114">
        <f t="shared" si="73"/>
        <v>0</v>
      </c>
      <c r="K283" s="114">
        <f t="shared" si="74"/>
        <v>0</v>
      </c>
      <c r="M283" s="114">
        <f t="shared" si="75"/>
        <v>0</v>
      </c>
    </row>
    <row r="284" spans="1:13" ht="15.75">
      <c r="A284" s="154"/>
      <c r="B284" s="164" t="s">
        <v>50</v>
      </c>
      <c r="C284" s="164" t="s">
        <v>50</v>
      </c>
      <c r="D284" s="107">
        <v>228.4</v>
      </c>
      <c r="E284" s="110">
        <v>0</v>
      </c>
      <c r="H284" s="114">
        <f t="shared" si="73"/>
        <v>0</v>
      </c>
      <c r="K284" s="114">
        <f t="shared" si="74"/>
        <v>0</v>
      </c>
      <c r="M284" s="114">
        <f t="shared" si="75"/>
        <v>0</v>
      </c>
    </row>
    <row r="285" spans="1:13" ht="15.75">
      <c r="A285" s="154"/>
      <c r="B285" s="164" t="s">
        <v>172</v>
      </c>
      <c r="C285" s="164" t="s">
        <v>172</v>
      </c>
      <c r="D285" s="22">
        <v>229</v>
      </c>
      <c r="E285" s="110">
        <v>0</v>
      </c>
      <c r="H285" s="114">
        <f t="shared" si="73"/>
        <v>0</v>
      </c>
      <c r="K285" s="114">
        <f t="shared" si="74"/>
        <v>0</v>
      </c>
      <c r="M285" s="114">
        <f t="shared" si="75"/>
        <v>0</v>
      </c>
    </row>
    <row r="286" spans="1:13" ht="15.75">
      <c r="A286" s="154"/>
      <c r="B286" s="157" t="s">
        <v>351</v>
      </c>
      <c r="C286" s="157"/>
      <c r="D286" s="158"/>
      <c r="E286" s="120">
        <f>SUM(E281:E285)</f>
        <v>0</v>
      </c>
      <c r="F286" s="120">
        <f t="shared" ref="F286:M286" si="78">SUM(F281:F285)</f>
        <v>0</v>
      </c>
      <c r="G286" s="120">
        <f t="shared" si="78"/>
        <v>0</v>
      </c>
      <c r="H286" s="120">
        <f t="shared" si="78"/>
        <v>0</v>
      </c>
      <c r="I286" s="120">
        <f t="shared" si="78"/>
        <v>0</v>
      </c>
      <c r="J286" s="120">
        <f t="shared" si="78"/>
        <v>0</v>
      </c>
      <c r="K286" s="120">
        <f t="shared" si="78"/>
        <v>0</v>
      </c>
      <c r="L286" s="120">
        <f t="shared" si="78"/>
        <v>0</v>
      </c>
      <c r="M286" s="120">
        <f t="shared" si="78"/>
        <v>0</v>
      </c>
    </row>
    <row r="287" spans="1:13" ht="15.75">
      <c r="A287" s="155"/>
      <c r="B287" s="149" t="s">
        <v>46</v>
      </c>
      <c r="C287" s="149"/>
      <c r="D287" s="150"/>
      <c r="E287" s="121">
        <f>E286</f>
        <v>0</v>
      </c>
      <c r="F287" s="121">
        <f t="shared" ref="F287:M287" si="79">F286</f>
        <v>0</v>
      </c>
      <c r="G287" s="121">
        <f t="shared" si="79"/>
        <v>0</v>
      </c>
      <c r="H287" s="121">
        <f t="shared" si="79"/>
        <v>0</v>
      </c>
      <c r="I287" s="121">
        <f t="shared" si="79"/>
        <v>0</v>
      </c>
      <c r="J287" s="121">
        <f t="shared" si="79"/>
        <v>0</v>
      </c>
      <c r="K287" s="121">
        <f t="shared" si="79"/>
        <v>0</v>
      </c>
      <c r="L287" s="121">
        <f t="shared" si="79"/>
        <v>0</v>
      </c>
      <c r="M287" s="121">
        <f t="shared" si="79"/>
        <v>0</v>
      </c>
    </row>
    <row r="288" spans="1:13" ht="15.75">
      <c r="A288" s="153" t="s">
        <v>51</v>
      </c>
      <c r="B288" s="156" t="s">
        <v>51</v>
      </c>
      <c r="C288" s="156"/>
      <c r="D288" s="22">
        <v>235</v>
      </c>
      <c r="E288" s="110">
        <v>-566000</v>
      </c>
      <c r="H288" s="114">
        <f t="shared" si="73"/>
        <v>-566000</v>
      </c>
      <c r="K288" s="114">
        <f t="shared" si="74"/>
        <v>-566000</v>
      </c>
      <c r="M288" s="114">
        <f t="shared" si="75"/>
        <v>-566000</v>
      </c>
    </row>
    <row r="289" spans="1:13" ht="15.75">
      <c r="A289" s="154"/>
      <c r="B289" s="157" t="s">
        <v>173</v>
      </c>
      <c r="C289" s="157"/>
      <c r="D289" s="158"/>
      <c r="E289" s="120">
        <f>SUM(E288)</f>
        <v>-566000</v>
      </c>
      <c r="F289" s="120">
        <f t="shared" ref="F289:M289" si="80">SUM(F288)</f>
        <v>0</v>
      </c>
      <c r="G289" s="120">
        <f t="shared" si="80"/>
        <v>0</v>
      </c>
      <c r="H289" s="120">
        <f t="shared" si="80"/>
        <v>-566000</v>
      </c>
      <c r="I289" s="120">
        <f t="shared" si="80"/>
        <v>0</v>
      </c>
      <c r="J289" s="120">
        <f t="shared" si="80"/>
        <v>0</v>
      </c>
      <c r="K289" s="120">
        <f t="shared" si="80"/>
        <v>-566000</v>
      </c>
      <c r="L289" s="120">
        <f t="shared" si="80"/>
        <v>0</v>
      </c>
      <c r="M289" s="120">
        <f t="shared" si="80"/>
        <v>-566000</v>
      </c>
    </row>
    <row r="290" spans="1:13" ht="15.75">
      <c r="A290" s="155"/>
      <c r="B290" s="159" t="s">
        <v>52</v>
      </c>
      <c r="C290" s="159"/>
      <c r="D290" s="160"/>
      <c r="E290" s="121">
        <f>E289</f>
        <v>-566000</v>
      </c>
      <c r="F290" s="121">
        <f t="shared" ref="F290:M290" si="81">F289</f>
        <v>0</v>
      </c>
      <c r="G290" s="121">
        <f t="shared" si="81"/>
        <v>0</v>
      </c>
      <c r="H290" s="121">
        <f t="shared" si="81"/>
        <v>-566000</v>
      </c>
      <c r="I290" s="121">
        <f t="shared" si="81"/>
        <v>0</v>
      </c>
      <c r="J290" s="121">
        <f t="shared" si="81"/>
        <v>0</v>
      </c>
      <c r="K290" s="121">
        <f t="shared" si="81"/>
        <v>-566000</v>
      </c>
      <c r="L290" s="121">
        <f t="shared" si="81"/>
        <v>0</v>
      </c>
      <c r="M290" s="121">
        <f t="shared" si="81"/>
        <v>-566000</v>
      </c>
    </row>
    <row r="291" spans="1:13" ht="15.75">
      <c r="A291" s="161" t="s">
        <v>64</v>
      </c>
      <c r="B291" s="164" t="s">
        <v>190</v>
      </c>
      <c r="C291" s="164"/>
      <c r="D291" s="22">
        <v>253</v>
      </c>
      <c r="E291" s="110">
        <v>0</v>
      </c>
      <c r="F291" s="110"/>
      <c r="G291" s="110"/>
      <c r="H291" s="114">
        <f t="shared" si="73"/>
        <v>0</v>
      </c>
      <c r="I291" s="110"/>
      <c r="J291" s="110"/>
      <c r="K291" s="114">
        <f t="shared" si="74"/>
        <v>0</v>
      </c>
      <c r="M291" s="114">
        <f t="shared" si="75"/>
        <v>0</v>
      </c>
    </row>
    <row r="292" spans="1:13" ht="15.75">
      <c r="A292" s="162"/>
      <c r="B292" s="164" t="s">
        <v>221</v>
      </c>
      <c r="C292" s="164" t="s">
        <v>54</v>
      </c>
      <c r="D292" s="22">
        <v>281</v>
      </c>
      <c r="E292" s="110">
        <v>0</v>
      </c>
      <c r="F292" s="110"/>
      <c r="G292" s="110"/>
      <c r="H292" s="114">
        <f t="shared" si="73"/>
        <v>0</v>
      </c>
      <c r="I292" s="110"/>
      <c r="J292" s="110"/>
      <c r="K292" s="114">
        <f t="shared" si="74"/>
        <v>0</v>
      </c>
      <c r="M292" s="114">
        <f t="shared" si="75"/>
        <v>0</v>
      </c>
    </row>
    <row r="293" spans="1:13" ht="15.75">
      <c r="A293" s="162"/>
      <c r="B293" s="164" t="s">
        <v>222</v>
      </c>
      <c r="C293" s="164" t="s">
        <v>55</v>
      </c>
      <c r="D293" s="22">
        <v>282</v>
      </c>
      <c r="E293" s="110">
        <f>-75510500-13061490-6582-428</f>
        <v>-88579000</v>
      </c>
      <c r="F293" s="110">
        <v>-373000</v>
      </c>
      <c r="G293" s="110">
        <v>0</v>
      </c>
      <c r="H293" s="114">
        <f t="shared" si="73"/>
        <v>-88952000</v>
      </c>
      <c r="I293" s="110">
        <f>-980000-F293</f>
        <v>-607000</v>
      </c>
      <c r="J293" s="110"/>
      <c r="K293" s="114">
        <f t="shared" si="74"/>
        <v>-89559000</v>
      </c>
      <c r="M293" s="114">
        <f t="shared" si="75"/>
        <v>-89559000</v>
      </c>
    </row>
    <row r="294" spans="1:13" ht="15.75">
      <c r="A294" s="162"/>
      <c r="B294" s="164" t="s">
        <v>223</v>
      </c>
      <c r="C294" s="164" t="s">
        <v>56</v>
      </c>
      <c r="D294" s="22">
        <v>283</v>
      </c>
      <c r="E294" s="110">
        <f>-1816057-35478-293814+1349</f>
        <v>-2144000</v>
      </c>
      <c r="F294" s="110"/>
      <c r="G294" s="110"/>
      <c r="H294" s="114">
        <f t="shared" si="73"/>
        <v>-2144000</v>
      </c>
      <c r="I294" s="110"/>
      <c r="J294" s="110"/>
      <c r="K294" s="114">
        <f t="shared" si="74"/>
        <v>-2144000</v>
      </c>
      <c r="M294" s="114">
        <f t="shared" si="75"/>
        <v>-2144000</v>
      </c>
    </row>
    <row r="295" spans="1:13" ht="15.75">
      <c r="A295" s="162"/>
      <c r="B295" s="164" t="s">
        <v>224</v>
      </c>
      <c r="C295" s="164" t="s">
        <v>57</v>
      </c>
      <c r="D295" s="22">
        <v>255</v>
      </c>
      <c r="E295" s="110">
        <v>0</v>
      </c>
      <c r="F295" s="110"/>
      <c r="G295" s="110"/>
      <c r="H295" s="114">
        <f t="shared" si="73"/>
        <v>0</v>
      </c>
      <c r="I295" s="110"/>
      <c r="J295" s="110"/>
      <c r="K295" s="114">
        <f t="shared" si="74"/>
        <v>0</v>
      </c>
      <c r="M295" s="114">
        <f t="shared" si="75"/>
        <v>0</v>
      </c>
    </row>
    <row r="296" spans="1:13" ht="15.75">
      <c r="A296" s="162"/>
      <c r="B296" s="164" t="s">
        <v>58</v>
      </c>
      <c r="C296" s="164" t="s">
        <v>58</v>
      </c>
      <c r="D296" s="22">
        <v>252</v>
      </c>
      <c r="E296" s="110">
        <f>-18+18</f>
        <v>0</v>
      </c>
      <c r="F296" s="110"/>
      <c r="G296" s="110"/>
      <c r="H296" s="114">
        <f t="shared" si="73"/>
        <v>0</v>
      </c>
      <c r="I296" s="110"/>
      <c r="J296" s="110"/>
      <c r="K296" s="114">
        <f t="shared" si="74"/>
        <v>0</v>
      </c>
      <c r="M296" s="114">
        <f t="shared" si="75"/>
        <v>0</v>
      </c>
    </row>
    <row r="297" spans="1:13" ht="15.75">
      <c r="A297" s="162"/>
      <c r="B297" s="164" t="s">
        <v>59</v>
      </c>
      <c r="C297" s="164" t="s">
        <v>59</v>
      </c>
      <c r="D297" s="22">
        <v>254</v>
      </c>
      <c r="E297" s="110">
        <f>-752880-120</f>
        <v>-753000</v>
      </c>
      <c r="F297" s="110">
        <v>-7000</v>
      </c>
      <c r="G297" s="110"/>
      <c r="H297" s="114">
        <f t="shared" si="73"/>
        <v>-760000</v>
      </c>
      <c r="I297" s="110">
        <f>-7000-F297</f>
        <v>0</v>
      </c>
      <c r="J297" s="110"/>
      <c r="K297" s="114">
        <f t="shared" si="74"/>
        <v>-760000</v>
      </c>
      <c r="M297" s="114">
        <f t="shared" si="75"/>
        <v>-760000</v>
      </c>
    </row>
    <row r="298" spans="1:13" ht="15.75">
      <c r="A298" s="162"/>
      <c r="B298" s="157" t="s">
        <v>60</v>
      </c>
      <c r="C298" s="157"/>
      <c r="D298" s="158"/>
      <c r="E298" s="120">
        <f>SUM(E291:E297)</f>
        <v>-91476000</v>
      </c>
      <c r="F298" s="120">
        <f t="shared" ref="F298:M298" si="82">SUM(F291:F297)</f>
        <v>-380000</v>
      </c>
      <c r="G298" s="120">
        <f t="shared" si="82"/>
        <v>0</v>
      </c>
      <c r="H298" s="120">
        <f t="shared" si="82"/>
        <v>-91856000</v>
      </c>
      <c r="I298" s="120">
        <f t="shared" si="82"/>
        <v>-607000</v>
      </c>
      <c r="J298" s="120">
        <f t="shared" si="82"/>
        <v>0</v>
      </c>
      <c r="K298" s="120">
        <f t="shared" si="82"/>
        <v>-92463000</v>
      </c>
      <c r="L298" s="120">
        <f t="shared" si="82"/>
        <v>0</v>
      </c>
      <c r="M298" s="120">
        <f t="shared" si="82"/>
        <v>-92463000</v>
      </c>
    </row>
    <row r="299" spans="1:13" ht="15.75">
      <c r="A299" s="163"/>
      <c r="B299" s="159" t="s">
        <v>60</v>
      </c>
      <c r="C299" s="159"/>
      <c r="D299" s="160"/>
      <c r="E299" s="121">
        <f>E298</f>
        <v>-91476000</v>
      </c>
      <c r="F299" s="121">
        <f t="shared" ref="F299:M299" si="83">F298</f>
        <v>-380000</v>
      </c>
      <c r="G299" s="121">
        <f t="shared" si="83"/>
        <v>0</v>
      </c>
      <c r="H299" s="121">
        <f t="shared" si="83"/>
        <v>-91856000</v>
      </c>
      <c r="I299" s="121">
        <f t="shared" si="83"/>
        <v>-607000</v>
      </c>
      <c r="J299" s="121">
        <f t="shared" si="83"/>
        <v>0</v>
      </c>
      <c r="K299" s="121">
        <f t="shared" si="83"/>
        <v>-92463000</v>
      </c>
      <c r="L299" s="121">
        <f t="shared" si="83"/>
        <v>0</v>
      </c>
      <c r="M299" s="121">
        <f t="shared" si="83"/>
        <v>-92463000</v>
      </c>
    </row>
    <row r="300" spans="1:13" ht="15.75">
      <c r="A300" s="144" t="s">
        <v>61</v>
      </c>
      <c r="B300" s="146" t="s">
        <v>61</v>
      </c>
      <c r="C300" s="147"/>
      <c r="D300" s="108"/>
      <c r="E300" s="110">
        <v>7549000</v>
      </c>
      <c r="H300" s="114">
        <f t="shared" si="73"/>
        <v>7549000</v>
      </c>
      <c r="K300" s="114">
        <f t="shared" si="74"/>
        <v>7549000</v>
      </c>
      <c r="M300" s="114">
        <f t="shared" si="75"/>
        <v>7549000</v>
      </c>
    </row>
    <row r="301" spans="1:13" ht="15.75">
      <c r="A301" s="145"/>
      <c r="B301" s="148" t="s">
        <v>62</v>
      </c>
      <c r="C301" s="149"/>
      <c r="D301" s="150"/>
      <c r="E301" s="121">
        <f>E300</f>
        <v>7549000</v>
      </c>
      <c r="F301" s="121">
        <f t="shared" ref="F301:M301" si="84">F300</f>
        <v>0</v>
      </c>
      <c r="G301" s="121">
        <f t="shared" si="84"/>
        <v>0</v>
      </c>
      <c r="H301" s="121">
        <f t="shared" si="84"/>
        <v>7549000</v>
      </c>
      <c r="I301" s="121">
        <f t="shared" si="84"/>
        <v>0</v>
      </c>
      <c r="J301" s="121">
        <f t="shared" si="84"/>
        <v>0</v>
      </c>
      <c r="K301" s="121">
        <f t="shared" si="84"/>
        <v>7549000</v>
      </c>
      <c r="L301" s="121">
        <f t="shared" si="84"/>
        <v>0</v>
      </c>
      <c r="M301" s="121">
        <f t="shared" si="84"/>
        <v>7549000</v>
      </c>
    </row>
    <row r="302" spans="1:13" ht="15.75">
      <c r="A302" s="151" t="s">
        <v>63</v>
      </c>
      <c r="B302" s="151"/>
      <c r="C302" s="151"/>
      <c r="D302" s="152"/>
      <c r="E302" s="122">
        <f>E272+E275+E280+E287+E290+E299+E301</f>
        <v>348658000</v>
      </c>
      <c r="F302" s="122">
        <f t="shared" ref="F302:M302" si="85">F272+F275+F280+F287+F290+F299+F301</f>
        <v>28014000</v>
      </c>
      <c r="G302" s="122">
        <f t="shared" si="85"/>
        <v>1000</v>
      </c>
      <c r="H302" s="122">
        <f t="shared" si="85"/>
        <v>376673000</v>
      </c>
      <c r="I302" s="122">
        <f t="shared" si="85"/>
        <v>22318000</v>
      </c>
      <c r="J302" s="122">
        <f t="shared" si="85"/>
        <v>0</v>
      </c>
      <c r="K302" s="122">
        <f t="shared" si="85"/>
        <v>398991000</v>
      </c>
      <c r="L302" s="122">
        <f t="shared" si="85"/>
        <v>0</v>
      </c>
      <c r="M302" s="122">
        <f t="shared" si="85"/>
        <v>398991000</v>
      </c>
    </row>
    <row r="303" spans="1:13">
      <c r="H303" s="114">
        <f t="shared" si="73"/>
        <v>0</v>
      </c>
      <c r="K303" s="114">
        <f t="shared" si="74"/>
        <v>0</v>
      </c>
      <c r="M303" s="114">
        <f t="shared" si="75"/>
        <v>0</v>
      </c>
    </row>
  </sheetData>
  <mergeCells count="187">
    <mergeCell ref="A155:A156"/>
    <mergeCell ref="B156:D156"/>
    <mergeCell ref="A225:A230"/>
    <mergeCell ref="B225:C225"/>
    <mergeCell ref="B226:C226"/>
    <mergeCell ref="B227:C227"/>
    <mergeCell ref="A237:A242"/>
    <mergeCell ref="B237:C237"/>
    <mergeCell ref="B238:C238"/>
    <mergeCell ref="B239:C239"/>
    <mergeCell ref="B240:C240"/>
    <mergeCell ref="B241:C241"/>
    <mergeCell ref="B242:D242"/>
    <mergeCell ref="B155:C155"/>
    <mergeCell ref="A163:A164"/>
    <mergeCell ref="B163:C163"/>
    <mergeCell ref="B164:D164"/>
    <mergeCell ref="A165:A166"/>
    <mergeCell ref="B165:C165"/>
    <mergeCell ref="B166:D166"/>
    <mergeCell ref="A157:A162"/>
    <mergeCell ref="B157:C157"/>
    <mergeCell ref="B158:C158"/>
    <mergeCell ref="B159:C159"/>
    <mergeCell ref="B153:C153"/>
    <mergeCell ref="A146:A154"/>
    <mergeCell ref="B146:C146"/>
    <mergeCell ref="B147:C147"/>
    <mergeCell ref="B148:C148"/>
    <mergeCell ref="B149:C149"/>
    <mergeCell ref="B150:C150"/>
    <mergeCell ref="B151:C151"/>
    <mergeCell ref="B152:C152"/>
    <mergeCell ref="B154:D154"/>
    <mergeCell ref="A44:A84"/>
    <mergeCell ref="B44:B57"/>
    <mergeCell ref="C57:D57"/>
    <mergeCell ref="B58:B66"/>
    <mergeCell ref="C66:D66"/>
    <mergeCell ref="B67:B73"/>
    <mergeCell ref="C73:D73"/>
    <mergeCell ref="B74:B83"/>
    <mergeCell ref="C83:D83"/>
    <mergeCell ref="B84:D84"/>
    <mergeCell ref="A3:B15"/>
    <mergeCell ref="C9:D9"/>
    <mergeCell ref="C11:D11"/>
    <mergeCell ref="C15:D15"/>
    <mergeCell ref="A16:D16"/>
    <mergeCell ref="A1:B1"/>
    <mergeCell ref="A17:A43"/>
    <mergeCell ref="B17:B22"/>
    <mergeCell ref="C22:D22"/>
    <mergeCell ref="B23:B42"/>
    <mergeCell ref="C42:D42"/>
    <mergeCell ref="B43:D43"/>
    <mergeCell ref="A131:A132"/>
    <mergeCell ref="B131:C131"/>
    <mergeCell ref="B132:D132"/>
    <mergeCell ref="A133:A134"/>
    <mergeCell ref="B133:C133"/>
    <mergeCell ref="B134:D134"/>
    <mergeCell ref="C105:D105"/>
    <mergeCell ref="B106:D106"/>
    <mergeCell ref="A107:A130"/>
    <mergeCell ref="B107:B118"/>
    <mergeCell ref="C118:D118"/>
    <mergeCell ref="B119:B129"/>
    <mergeCell ref="C129:D129"/>
    <mergeCell ref="B130:D130"/>
    <mergeCell ref="A85:A106"/>
    <mergeCell ref="B85:B96"/>
    <mergeCell ref="C96:D96"/>
    <mergeCell ref="B97:B105"/>
    <mergeCell ref="A135:A136"/>
    <mergeCell ref="B135:C135"/>
    <mergeCell ref="B136:D136"/>
    <mergeCell ref="A137:D137"/>
    <mergeCell ref="A138:A145"/>
    <mergeCell ref="B138:C138"/>
    <mergeCell ref="B139:C139"/>
    <mergeCell ref="B141:C141"/>
    <mergeCell ref="B142:C142"/>
    <mergeCell ref="B143:C143"/>
    <mergeCell ref="B144:C144"/>
    <mergeCell ref="B145:D145"/>
    <mergeCell ref="B140:C140"/>
    <mergeCell ref="B160:C160"/>
    <mergeCell ref="B161:C161"/>
    <mergeCell ref="B162:D162"/>
    <mergeCell ref="A167:D167"/>
    <mergeCell ref="A168:D168"/>
    <mergeCell ref="A171:A224"/>
    <mergeCell ref="B171:B174"/>
    <mergeCell ref="C174:D174"/>
    <mergeCell ref="B175:B187"/>
    <mergeCell ref="C187:D187"/>
    <mergeCell ref="B188:B196"/>
    <mergeCell ref="C196:D196"/>
    <mergeCell ref="B197:B211"/>
    <mergeCell ref="C211:D211"/>
    <mergeCell ref="B212:B223"/>
    <mergeCell ref="C223:D223"/>
    <mergeCell ref="B224:D224"/>
    <mergeCell ref="B228:C228"/>
    <mergeCell ref="B229:C229"/>
    <mergeCell ref="B230:D230"/>
    <mergeCell ref="A231:A236"/>
    <mergeCell ref="B231:C231"/>
    <mergeCell ref="B232:C232"/>
    <mergeCell ref="B233:C233"/>
    <mergeCell ref="B234:C234"/>
    <mergeCell ref="B235:C235"/>
    <mergeCell ref="B236:D236"/>
    <mergeCell ref="A251:A256"/>
    <mergeCell ref="B251:C251"/>
    <mergeCell ref="B252:C252"/>
    <mergeCell ref="B253:C253"/>
    <mergeCell ref="B254:C254"/>
    <mergeCell ref="B255:C255"/>
    <mergeCell ref="B256:D256"/>
    <mergeCell ref="A243:A244"/>
    <mergeCell ref="B243:C243"/>
    <mergeCell ref="B244:D244"/>
    <mergeCell ref="A245:A250"/>
    <mergeCell ref="B245:C245"/>
    <mergeCell ref="B246:C246"/>
    <mergeCell ref="B247:C247"/>
    <mergeCell ref="B248:C248"/>
    <mergeCell ref="B249:C249"/>
    <mergeCell ref="B250:D250"/>
    <mergeCell ref="A263:A264"/>
    <mergeCell ref="B263:C263"/>
    <mergeCell ref="B264:D264"/>
    <mergeCell ref="A265:A266"/>
    <mergeCell ref="B265:C265"/>
    <mergeCell ref="B266:D266"/>
    <mergeCell ref="A257:A262"/>
    <mergeCell ref="B257:C257"/>
    <mergeCell ref="B258:C258"/>
    <mergeCell ref="B259:C259"/>
    <mergeCell ref="B260:C260"/>
    <mergeCell ref="B261:C261"/>
    <mergeCell ref="B262:D262"/>
    <mergeCell ref="A272:D272"/>
    <mergeCell ref="A273:A275"/>
    <mergeCell ref="B273:C273"/>
    <mergeCell ref="B274:D274"/>
    <mergeCell ref="B275:D275"/>
    <mergeCell ref="A267:A271"/>
    <mergeCell ref="B267:C267"/>
    <mergeCell ref="B268:C268"/>
    <mergeCell ref="B269:C269"/>
    <mergeCell ref="B270:C270"/>
    <mergeCell ref="B271:D271"/>
    <mergeCell ref="A281:A287"/>
    <mergeCell ref="B281:C281"/>
    <mergeCell ref="B282:C282"/>
    <mergeCell ref="B283:C283"/>
    <mergeCell ref="B284:C284"/>
    <mergeCell ref="B285:C285"/>
    <mergeCell ref="B286:D286"/>
    <mergeCell ref="B287:D287"/>
    <mergeCell ref="A276:A280"/>
    <mergeCell ref="B276:C276"/>
    <mergeCell ref="B277:C277"/>
    <mergeCell ref="B278:C278"/>
    <mergeCell ref="B279:D279"/>
    <mergeCell ref="B280:D280"/>
    <mergeCell ref="A300:A301"/>
    <mergeCell ref="B300:C300"/>
    <mergeCell ref="B301:D301"/>
    <mergeCell ref="A302:D302"/>
    <mergeCell ref="A288:A290"/>
    <mergeCell ref="B288:C288"/>
    <mergeCell ref="B289:D289"/>
    <mergeCell ref="B290:D290"/>
    <mergeCell ref="A291:A299"/>
    <mergeCell ref="B291:C291"/>
    <mergeCell ref="B292:C292"/>
    <mergeCell ref="B293:C293"/>
    <mergeCell ref="B294:C294"/>
    <mergeCell ref="B295:C295"/>
    <mergeCell ref="B296:C296"/>
    <mergeCell ref="B297:C297"/>
    <mergeCell ref="B298:D298"/>
    <mergeCell ref="B299:D299"/>
  </mergeCells>
  <pageMargins left="0.7" right="0.7" top="0.75" bottom="0.75" header="0.3" footer="0.3"/>
  <pageSetup scale="43" fitToHeight="19" orientation="landscape" horizontalDpi="1200" verticalDpi="1200" r:id="rId1"/>
  <headerFooter>
    <oddHeader>&amp;C&amp;A</oddHeader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2"/>
  <sheetViews>
    <sheetView tabSelected="1" view="pageBreakPreview" zoomScale="60" zoomScaleNormal="100" workbookViewId="0">
      <selection activeCell="E3" sqref="E3"/>
    </sheetView>
  </sheetViews>
  <sheetFormatPr defaultRowHeight="15"/>
  <cols>
    <col min="1" max="1" width="38.140625" customWidth="1"/>
    <col min="2" max="2" width="34.28515625" customWidth="1"/>
    <col min="3" max="3" width="36.42578125" customWidth="1"/>
    <col min="4" max="4" width="19" customWidth="1"/>
    <col min="5" max="5" width="16.140625" style="110" customWidth="1"/>
    <col min="6" max="6" width="16.42578125" style="110" customWidth="1"/>
    <col min="7" max="7" width="18.140625" style="110" customWidth="1"/>
    <col min="8" max="8" width="13.42578125" style="110" customWidth="1"/>
    <col min="9" max="9" width="14.5703125" style="124" customWidth="1"/>
    <col min="10" max="10" width="18.7109375" customWidth="1"/>
    <col min="11" max="11" width="21" customWidth="1"/>
    <col min="12" max="12" width="17.7109375" customWidth="1"/>
  </cols>
  <sheetData>
    <row r="1" spans="1:13" ht="16.5" thickBot="1">
      <c r="A1" s="222"/>
      <c r="B1" s="223"/>
      <c r="C1" s="2"/>
    </row>
    <row r="2" spans="1:13" s="27" customFormat="1" ht="16.5" thickBot="1">
      <c r="A2" s="25"/>
      <c r="B2" s="26"/>
      <c r="C2" s="109"/>
      <c r="D2" s="3" t="s">
        <v>0</v>
      </c>
      <c r="E2" s="111" t="s">
        <v>71</v>
      </c>
      <c r="F2" s="111" t="s">
        <v>71</v>
      </c>
      <c r="G2" s="111" t="s">
        <v>71</v>
      </c>
      <c r="H2" s="111" t="s">
        <v>71</v>
      </c>
      <c r="I2" s="125" t="s">
        <v>77</v>
      </c>
      <c r="J2" s="24"/>
      <c r="K2" s="24"/>
      <c r="L2" s="24"/>
      <c r="M2" s="24"/>
    </row>
    <row r="3" spans="1:13" ht="15.75">
      <c r="A3" s="213" t="s">
        <v>109</v>
      </c>
      <c r="B3" s="199"/>
      <c r="C3" s="3" t="s">
        <v>205</v>
      </c>
      <c r="D3" s="4">
        <v>480</v>
      </c>
      <c r="E3" s="110">
        <v>71131816</v>
      </c>
      <c r="I3" s="126">
        <f>SUM(E3:H3)</f>
        <v>71131816</v>
      </c>
    </row>
    <row r="4" spans="1:13" ht="15.75">
      <c r="A4" s="214"/>
      <c r="B4" s="200"/>
      <c r="C4" s="5" t="s">
        <v>206</v>
      </c>
      <c r="D4" s="6">
        <v>481</v>
      </c>
      <c r="F4" s="110">
        <v>17418557</v>
      </c>
      <c r="G4" s="110">
        <v>201030</v>
      </c>
      <c r="I4" s="126">
        <f t="shared" ref="I4:I14" si="0">SUM(E4:H4)</f>
        <v>17619587</v>
      </c>
    </row>
    <row r="5" spans="1:13" ht="15.75">
      <c r="A5" s="214"/>
      <c r="B5" s="200"/>
      <c r="C5" s="5" t="s">
        <v>207</v>
      </c>
      <c r="D5" s="6">
        <v>482</v>
      </c>
      <c r="I5" s="126">
        <f t="shared" si="0"/>
        <v>0</v>
      </c>
    </row>
    <row r="6" spans="1:13" ht="15.75">
      <c r="A6" s="214"/>
      <c r="B6" s="200"/>
      <c r="C6" s="5" t="s">
        <v>208</v>
      </c>
      <c r="D6" s="7">
        <v>483</v>
      </c>
      <c r="I6" s="126">
        <f t="shared" si="0"/>
        <v>0</v>
      </c>
    </row>
    <row r="7" spans="1:13" ht="15.75">
      <c r="A7" s="214"/>
      <c r="B7" s="200"/>
      <c r="C7" s="5" t="s">
        <v>209</v>
      </c>
      <c r="D7" s="7">
        <v>484</v>
      </c>
      <c r="I7" s="126">
        <f t="shared" si="0"/>
        <v>0</v>
      </c>
    </row>
    <row r="8" spans="1:13" ht="15.75">
      <c r="A8" s="214"/>
      <c r="B8" s="200"/>
      <c r="C8" s="5" t="s">
        <v>110</v>
      </c>
      <c r="D8" s="7">
        <v>485</v>
      </c>
      <c r="I8" s="126">
        <f t="shared" si="0"/>
        <v>0</v>
      </c>
    </row>
    <row r="9" spans="1:13" ht="15.75">
      <c r="A9" s="214"/>
      <c r="B9" s="200"/>
      <c r="C9" s="210" t="s">
        <v>111</v>
      </c>
      <c r="D9" s="210"/>
      <c r="E9" s="112">
        <f t="shared" ref="E9:H9" si="1">SUM(E3:E8)</f>
        <v>71131816</v>
      </c>
      <c r="F9" s="112">
        <f t="shared" si="1"/>
        <v>17418557</v>
      </c>
      <c r="G9" s="112">
        <f t="shared" si="1"/>
        <v>201030</v>
      </c>
      <c r="H9" s="112">
        <f t="shared" si="1"/>
        <v>0</v>
      </c>
      <c r="I9" s="127">
        <f t="shared" ref="I9" si="2">SUM(I3:I8)</f>
        <v>88751403</v>
      </c>
    </row>
    <row r="10" spans="1:13" ht="15.75">
      <c r="A10" s="214"/>
      <c r="B10" s="200"/>
      <c r="C10" s="8" t="s">
        <v>2</v>
      </c>
      <c r="D10" s="7">
        <v>496</v>
      </c>
      <c r="I10" s="126">
        <f t="shared" si="0"/>
        <v>0</v>
      </c>
    </row>
    <row r="11" spans="1:13" ht="15.75">
      <c r="A11" s="214"/>
      <c r="B11" s="200"/>
      <c r="C11" s="243" t="s">
        <v>3</v>
      </c>
      <c r="D11" s="243"/>
      <c r="E11" s="112">
        <f t="shared" ref="E11:H11" si="3">SUM(E9:E10)</f>
        <v>71131816</v>
      </c>
      <c r="F11" s="112">
        <f t="shared" si="3"/>
        <v>17418557</v>
      </c>
      <c r="G11" s="112">
        <f t="shared" si="3"/>
        <v>201030</v>
      </c>
      <c r="H11" s="112">
        <f t="shared" si="3"/>
        <v>0</v>
      </c>
      <c r="I11" s="127">
        <f t="shared" ref="I11" si="4">SUM(I9:I10)</f>
        <v>88751403</v>
      </c>
    </row>
    <row r="12" spans="1:13" ht="15.75">
      <c r="A12" s="214"/>
      <c r="B12" s="200"/>
      <c r="C12" s="9" t="s">
        <v>112</v>
      </c>
      <c r="D12" s="10" t="s">
        <v>113</v>
      </c>
      <c r="H12" s="110">
        <v>3235597</v>
      </c>
      <c r="I12" s="126">
        <f t="shared" si="0"/>
        <v>3235597</v>
      </c>
    </row>
    <row r="13" spans="1:13" ht="15.75">
      <c r="A13" s="214"/>
      <c r="B13" s="200"/>
      <c r="C13" s="9" t="s">
        <v>114</v>
      </c>
      <c r="D13" s="10">
        <v>489.4</v>
      </c>
      <c r="I13" s="126">
        <f t="shared" si="0"/>
        <v>0</v>
      </c>
    </row>
    <row r="14" spans="1:13" ht="31.5">
      <c r="A14" s="214"/>
      <c r="B14" s="200"/>
      <c r="C14" s="9" t="s">
        <v>232</v>
      </c>
      <c r="D14" s="10" t="s">
        <v>115</v>
      </c>
      <c r="E14" s="110">
        <v>1691772</v>
      </c>
      <c r="F14" s="110">
        <v>259781</v>
      </c>
      <c r="G14" s="110">
        <v>2949</v>
      </c>
      <c r="H14" s="110">
        <v>98498</v>
      </c>
      <c r="I14" s="126">
        <f t="shared" si="0"/>
        <v>2053000</v>
      </c>
    </row>
    <row r="15" spans="1:13" ht="15.75">
      <c r="A15" s="215"/>
      <c r="B15" s="201"/>
      <c r="C15" s="243" t="s">
        <v>233</v>
      </c>
      <c r="D15" s="243"/>
      <c r="E15" s="112">
        <f t="shared" ref="E15:H15" si="5">SUM(E12:E14)</f>
        <v>1691772</v>
      </c>
      <c r="F15" s="112">
        <f t="shared" si="5"/>
        <v>259781</v>
      </c>
      <c r="G15" s="112">
        <f t="shared" si="5"/>
        <v>2949</v>
      </c>
      <c r="H15" s="112">
        <f t="shared" si="5"/>
        <v>3334095</v>
      </c>
      <c r="I15" s="127">
        <f t="shared" ref="I15" si="6">SUM(I12:I14)</f>
        <v>5288597</v>
      </c>
    </row>
    <row r="16" spans="1:13" ht="15.75">
      <c r="A16" s="179" t="s">
        <v>109</v>
      </c>
      <c r="B16" s="179"/>
      <c r="C16" s="179"/>
      <c r="D16" s="180"/>
      <c r="E16" s="113">
        <f t="shared" ref="E16:I16" si="7">E11+E15</f>
        <v>72823588</v>
      </c>
      <c r="F16" s="113">
        <f t="shared" si="7"/>
        <v>17678338</v>
      </c>
      <c r="G16" s="113">
        <f t="shared" si="7"/>
        <v>203979</v>
      </c>
      <c r="H16" s="113">
        <f t="shared" si="7"/>
        <v>3334095</v>
      </c>
      <c r="I16" s="113">
        <f t="shared" si="7"/>
        <v>94040000</v>
      </c>
    </row>
    <row r="17" spans="1:9" ht="15.75">
      <c r="A17" s="161" t="s">
        <v>116</v>
      </c>
      <c r="B17" s="224" t="s">
        <v>117</v>
      </c>
      <c r="C17" s="11" t="s">
        <v>118</v>
      </c>
      <c r="D17" s="12">
        <v>710</v>
      </c>
      <c r="E17"/>
      <c r="F17"/>
      <c r="G17"/>
      <c r="H17"/>
      <c r="I17" s="126">
        <f t="shared" ref="I17:I41" si="8">SUM(E17:H17)</f>
        <v>0</v>
      </c>
    </row>
    <row r="18" spans="1:9" ht="31.5">
      <c r="A18" s="162"/>
      <c r="B18" s="225"/>
      <c r="C18" s="11" t="s">
        <v>119</v>
      </c>
      <c r="D18" s="12" t="s">
        <v>120</v>
      </c>
      <c r="E18"/>
      <c r="F18"/>
      <c r="G18"/>
      <c r="H18"/>
      <c r="I18" s="126">
        <f t="shared" si="8"/>
        <v>0</v>
      </c>
    </row>
    <row r="19" spans="1:9" ht="31.5">
      <c r="A19" s="162"/>
      <c r="B19" s="225"/>
      <c r="C19" s="11" t="s">
        <v>121</v>
      </c>
      <c r="D19" s="12" t="s">
        <v>122</v>
      </c>
      <c r="E19"/>
      <c r="F19"/>
      <c r="G19"/>
      <c r="H19"/>
      <c r="I19" s="126">
        <f t="shared" si="8"/>
        <v>0</v>
      </c>
    </row>
    <row r="20" spans="1:9" ht="63">
      <c r="A20" s="162"/>
      <c r="B20" s="225"/>
      <c r="C20" s="11" t="s">
        <v>123</v>
      </c>
      <c r="D20" s="12" t="s">
        <v>124</v>
      </c>
      <c r="E20"/>
      <c r="F20"/>
      <c r="G20"/>
      <c r="H20"/>
      <c r="I20" s="126">
        <f t="shared" si="8"/>
        <v>0</v>
      </c>
    </row>
    <row r="21" spans="1:9" ht="31.5">
      <c r="A21" s="162"/>
      <c r="B21" s="225"/>
      <c r="C21" s="11" t="s">
        <v>125</v>
      </c>
      <c r="D21" s="12" t="s">
        <v>126</v>
      </c>
      <c r="E21"/>
      <c r="F21"/>
      <c r="G21"/>
      <c r="H21"/>
      <c r="I21" s="126">
        <f t="shared" si="8"/>
        <v>0</v>
      </c>
    </row>
    <row r="22" spans="1:9" ht="15.75">
      <c r="A22" s="162"/>
      <c r="B22" s="226"/>
      <c r="C22" s="239" t="s">
        <v>127</v>
      </c>
      <c r="D22" s="239"/>
      <c r="E22" s="112">
        <f t="shared" ref="E22:H22" si="9">SUM(E17:E21)</f>
        <v>0</v>
      </c>
      <c r="F22" s="112">
        <f t="shared" si="9"/>
        <v>0</v>
      </c>
      <c r="G22" s="112">
        <f t="shared" si="9"/>
        <v>0</v>
      </c>
      <c r="H22" s="112">
        <f t="shared" si="9"/>
        <v>0</v>
      </c>
      <c r="I22" s="127">
        <f t="shared" ref="I22" si="10">SUM(I17:I21)</f>
        <v>0</v>
      </c>
    </row>
    <row r="23" spans="1:9" ht="15.75">
      <c r="A23" s="162"/>
      <c r="B23" s="227" t="s">
        <v>128</v>
      </c>
      <c r="C23" s="95" t="s">
        <v>234</v>
      </c>
      <c r="D23" s="12">
        <v>800</v>
      </c>
      <c r="E23"/>
      <c r="F23"/>
      <c r="G23"/>
      <c r="H23"/>
      <c r="I23" s="126">
        <f t="shared" si="8"/>
        <v>0</v>
      </c>
    </row>
    <row r="24" spans="1:9" ht="31.5">
      <c r="A24" s="162"/>
      <c r="B24" s="227"/>
      <c r="C24" s="11" t="s">
        <v>235</v>
      </c>
      <c r="D24" s="15">
        <v>800.1</v>
      </c>
      <c r="E24" s="114"/>
      <c r="F24" s="114"/>
      <c r="G24" s="114"/>
      <c r="H24" s="114"/>
      <c r="I24" s="126">
        <f t="shared" si="8"/>
        <v>0</v>
      </c>
    </row>
    <row r="25" spans="1:9" ht="15.75">
      <c r="A25" s="162"/>
      <c r="B25" s="227"/>
      <c r="C25" s="11" t="s">
        <v>236</v>
      </c>
      <c r="D25" s="12">
        <v>801</v>
      </c>
      <c r="E25" s="114"/>
      <c r="F25" s="114"/>
      <c r="G25" s="114"/>
      <c r="H25" s="114"/>
      <c r="I25" s="126">
        <f t="shared" si="8"/>
        <v>0</v>
      </c>
    </row>
    <row r="26" spans="1:9" ht="31.5">
      <c r="A26" s="162"/>
      <c r="B26" s="227"/>
      <c r="C26" s="11" t="s">
        <v>237</v>
      </c>
      <c r="D26" s="12">
        <v>802</v>
      </c>
      <c r="E26" s="114"/>
      <c r="F26" s="114"/>
      <c r="G26" s="114"/>
      <c r="H26" s="114"/>
      <c r="I26" s="126">
        <f t="shared" si="8"/>
        <v>0</v>
      </c>
    </row>
    <row r="27" spans="1:9" ht="15.75">
      <c r="A27" s="162"/>
      <c r="B27" s="227"/>
      <c r="C27" s="11" t="s">
        <v>238</v>
      </c>
      <c r="D27" s="12">
        <v>803</v>
      </c>
      <c r="E27" s="114"/>
      <c r="F27" s="114"/>
      <c r="G27" s="114"/>
      <c r="H27" s="114"/>
      <c r="I27" s="126">
        <f t="shared" si="8"/>
        <v>0</v>
      </c>
    </row>
    <row r="28" spans="1:9" ht="15.75">
      <c r="A28" s="162"/>
      <c r="B28" s="227"/>
      <c r="C28" s="11" t="s">
        <v>239</v>
      </c>
      <c r="D28" s="12">
        <v>804</v>
      </c>
      <c r="E28" s="114"/>
      <c r="F28" s="114"/>
      <c r="G28" s="114"/>
      <c r="H28" s="114"/>
      <c r="I28" s="126">
        <f t="shared" si="8"/>
        <v>0</v>
      </c>
    </row>
    <row r="29" spans="1:9" ht="15.75">
      <c r="A29" s="162"/>
      <c r="B29" s="227"/>
      <c r="C29" s="11" t="s">
        <v>240</v>
      </c>
      <c r="D29" s="15">
        <v>804.1</v>
      </c>
      <c r="E29" s="114"/>
      <c r="F29" s="114"/>
      <c r="G29" s="114"/>
      <c r="H29" s="114"/>
      <c r="I29" s="126">
        <f t="shared" si="8"/>
        <v>0</v>
      </c>
    </row>
    <row r="30" spans="1:9" ht="15.75">
      <c r="A30" s="162"/>
      <c r="B30" s="227"/>
      <c r="C30" s="11" t="s">
        <v>241</v>
      </c>
      <c r="D30" s="12">
        <v>805</v>
      </c>
      <c r="E30" s="114"/>
      <c r="F30" s="114"/>
      <c r="G30" s="114"/>
      <c r="H30" s="114"/>
      <c r="I30" s="126">
        <f t="shared" si="8"/>
        <v>0</v>
      </c>
    </row>
    <row r="31" spans="1:9" ht="15.75">
      <c r="A31" s="162"/>
      <c r="B31" s="227"/>
      <c r="C31" s="11" t="s">
        <v>242</v>
      </c>
      <c r="D31" s="15">
        <v>805.1</v>
      </c>
      <c r="E31" s="114"/>
      <c r="F31" s="114"/>
      <c r="G31" s="114"/>
      <c r="H31" s="114"/>
      <c r="I31" s="126">
        <f t="shared" si="8"/>
        <v>0</v>
      </c>
    </row>
    <row r="32" spans="1:9" ht="15.75">
      <c r="A32" s="162"/>
      <c r="B32" s="227"/>
      <c r="C32" s="11" t="s">
        <v>243</v>
      </c>
      <c r="D32" s="12">
        <v>806</v>
      </c>
      <c r="E32" s="114"/>
      <c r="F32" s="114"/>
      <c r="G32" s="114"/>
      <c r="H32" s="114"/>
      <c r="I32" s="126">
        <f t="shared" si="8"/>
        <v>0</v>
      </c>
    </row>
    <row r="33" spans="1:9" ht="15.75">
      <c r="A33" s="162"/>
      <c r="B33" s="227"/>
      <c r="C33" s="11" t="s">
        <v>244</v>
      </c>
      <c r="D33" s="12">
        <v>807</v>
      </c>
      <c r="E33" s="114"/>
      <c r="F33" s="114"/>
      <c r="G33" s="114"/>
      <c r="H33" s="114"/>
      <c r="I33" s="126">
        <f t="shared" si="8"/>
        <v>0</v>
      </c>
    </row>
    <row r="34" spans="1:9" ht="15.75">
      <c r="A34" s="162"/>
      <c r="B34" s="227"/>
      <c r="C34" s="11" t="s">
        <v>245</v>
      </c>
      <c r="D34" s="15">
        <v>808.1</v>
      </c>
      <c r="E34" s="114"/>
      <c r="F34" s="114"/>
      <c r="G34" s="114"/>
      <c r="H34" s="114"/>
      <c r="I34" s="126">
        <f t="shared" si="8"/>
        <v>0</v>
      </c>
    </row>
    <row r="35" spans="1:9" ht="15.75">
      <c r="A35" s="162"/>
      <c r="B35" s="227"/>
      <c r="C35" s="11" t="s">
        <v>246</v>
      </c>
      <c r="D35" s="15">
        <v>808.2</v>
      </c>
      <c r="E35" s="114"/>
      <c r="F35" s="114"/>
      <c r="G35" s="114"/>
      <c r="H35" s="114"/>
      <c r="I35" s="126">
        <f t="shared" si="8"/>
        <v>0</v>
      </c>
    </row>
    <row r="36" spans="1:9" ht="31.5">
      <c r="A36" s="162"/>
      <c r="B36" s="227"/>
      <c r="C36" s="11" t="s">
        <v>247</v>
      </c>
      <c r="D36" s="15">
        <v>809.1</v>
      </c>
      <c r="E36" s="114"/>
      <c r="F36" s="114"/>
      <c r="G36" s="114"/>
      <c r="H36" s="114"/>
      <c r="I36" s="126">
        <f t="shared" si="8"/>
        <v>0</v>
      </c>
    </row>
    <row r="37" spans="1:9" ht="31.5">
      <c r="A37" s="162"/>
      <c r="B37" s="227"/>
      <c r="C37" s="11" t="s">
        <v>248</v>
      </c>
      <c r="D37" s="15">
        <v>809.2</v>
      </c>
      <c r="E37" s="114"/>
      <c r="F37" s="114"/>
      <c r="G37" s="114"/>
      <c r="H37" s="114"/>
      <c r="I37" s="126">
        <f t="shared" si="8"/>
        <v>0</v>
      </c>
    </row>
    <row r="38" spans="1:9" ht="31.5">
      <c r="A38" s="162"/>
      <c r="B38" s="227"/>
      <c r="C38" s="11" t="s">
        <v>249</v>
      </c>
      <c r="D38" s="12">
        <v>810</v>
      </c>
      <c r="E38" s="114"/>
      <c r="F38" s="114"/>
      <c r="G38" s="114"/>
      <c r="H38" s="114"/>
      <c r="I38" s="126">
        <f t="shared" si="8"/>
        <v>0</v>
      </c>
    </row>
    <row r="39" spans="1:9" ht="31.5">
      <c r="A39" s="162"/>
      <c r="B39" s="227"/>
      <c r="C39" s="11" t="s">
        <v>250</v>
      </c>
      <c r="D39" s="12">
        <v>811</v>
      </c>
      <c r="E39" s="114"/>
      <c r="F39" s="114"/>
      <c r="G39" s="114"/>
      <c r="H39" s="114"/>
      <c r="I39" s="126">
        <f t="shared" si="8"/>
        <v>0</v>
      </c>
    </row>
    <row r="40" spans="1:9" ht="31.5">
      <c r="A40" s="162"/>
      <c r="B40" s="227"/>
      <c r="C40" s="11" t="s">
        <v>251</v>
      </c>
      <c r="D40" s="12">
        <v>812</v>
      </c>
      <c r="E40" s="114"/>
      <c r="F40" s="114"/>
      <c r="G40" s="114"/>
      <c r="H40" s="114"/>
      <c r="I40" s="126">
        <f t="shared" si="8"/>
        <v>0</v>
      </c>
    </row>
    <row r="41" spans="1:9" ht="15.75">
      <c r="A41" s="162"/>
      <c r="B41" s="227"/>
      <c r="C41" s="11" t="s">
        <v>128</v>
      </c>
      <c r="D41" s="12">
        <v>813</v>
      </c>
      <c r="E41" s="114">
        <v>674600</v>
      </c>
      <c r="F41" s="114">
        <v>287197</v>
      </c>
      <c r="G41" s="114">
        <v>4964</v>
      </c>
      <c r="H41" s="114">
        <v>32239</v>
      </c>
      <c r="I41" s="126">
        <f t="shared" si="8"/>
        <v>999000</v>
      </c>
    </row>
    <row r="42" spans="1:9" ht="15.75">
      <c r="A42" s="162"/>
      <c r="B42" s="227"/>
      <c r="C42" s="239" t="s">
        <v>129</v>
      </c>
      <c r="D42" s="239"/>
      <c r="E42" s="112">
        <f t="shared" ref="E42:H42" si="11">SUM(E23:E41)</f>
        <v>674600</v>
      </c>
      <c r="F42" s="112">
        <f t="shared" si="11"/>
        <v>287197</v>
      </c>
      <c r="G42" s="112">
        <f t="shared" si="11"/>
        <v>4964</v>
      </c>
      <c r="H42" s="112">
        <f t="shared" si="11"/>
        <v>32239</v>
      </c>
      <c r="I42" s="127">
        <f t="shared" ref="I42" si="12">SUM(I23:I41)</f>
        <v>999000</v>
      </c>
    </row>
    <row r="43" spans="1:9" ht="15.75">
      <c r="A43" s="163"/>
      <c r="B43" s="187" t="s">
        <v>116</v>
      </c>
      <c r="C43" s="188"/>
      <c r="D43" s="189"/>
      <c r="E43" s="115">
        <f t="shared" ref="E43:H43" si="13">E22+E42</f>
        <v>674600</v>
      </c>
      <c r="F43" s="115">
        <f t="shared" si="13"/>
        <v>287197</v>
      </c>
      <c r="G43" s="115">
        <f t="shared" si="13"/>
        <v>4964</v>
      </c>
      <c r="H43" s="115">
        <f t="shared" si="13"/>
        <v>32239</v>
      </c>
      <c r="I43" s="128">
        <f t="shared" ref="I43" si="14">I22+I42</f>
        <v>999000</v>
      </c>
    </row>
    <row r="44" spans="1:9" ht="15.75">
      <c r="A44" s="199" t="s">
        <v>179</v>
      </c>
      <c r="B44" s="226" t="s">
        <v>177</v>
      </c>
      <c r="C44" s="96" t="s">
        <v>252</v>
      </c>
      <c r="D44" s="97">
        <v>814</v>
      </c>
      <c r="E44" s="110">
        <v>9513.0515743274482</v>
      </c>
      <c r="F44" s="110">
        <v>4121.6550599215961</v>
      </c>
      <c r="G44" s="110">
        <v>72.666004363287257</v>
      </c>
      <c r="H44" s="110">
        <v>292.62736138766718</v>
      </c>
      <c r="I44" s="126">
        <f t="shared" ref="I44:I56" si="15">SUM(E44:H44)</f>
        <v>13999.999999999998</v>
      </c>
    </row>
    <row r="45" spans="1:9" ht="15.75">
      <c r="A45" s="200"/>
      <c r="B45" s="227"/>
      <c r="C45" s="14" t="s">
        <v>253</v>
      </c>
      <c r="D45" s="12">
        <v>815</v>
      </c>
      <c r="I45" s="126">
        <f t="shared" si="15"/>
        <v>0</v>
      </c>
    </row>
    <row r="46" spans="1:9" ht="15.75">
      <c r="A46" s="200"/>
      <c r="B46" s="227"/>
      <c r="C46" s="14" t="s">
        <v>254</v>
      </c>
      <c r="D46" s="12">
        <v>816</v>
      </c>
      <c r="I46" s="126">
        <f t="shared" si="15"/>
        <v>0</v>
      </c>
    </row>
    <row r="47" spans="1:9" ht="15.75">
      <c r="A47" s="200"/>
      <c r="B47" s="227"/>
      <c r="C47" s="14" t="s">
        <v>255</v>
      </c>
      <c r="D47" s="12">
        <v>817</v>
      </c>
      <c r="I47" s="126">
        <f t="shared" si="15"/>
        <v>0</v>
      </c>
    </row>
    <row r="48" spans="1:9" ht="15.75">
      <c r="A48" s="200"/>
      <c r="B48" s="227"/>
      <c r="C48" s="14" t="s">
        <v>256</v>
      </c>
      <c r="D48" s="12">
        <v>818</v>
      </c>
      <c r="I48" s="126">
        <f t="shared" si="15"/>
        <v>0</v>
      </c>
    </row>
    <row r="49" spans="1:9" ht="15.75">
      <c r="A49" s="200"/>
      <c r="B49" s="227"/>
      <c r="C49" s="14" t="s">
        <v>257</v>
      </c>
      <c r="D49" s="12">
        <v>819</v>
      </c>
      <c r="I49" s="126">
        <f t="shared" si="15"/>
        <v>0</v>
      </c>
    </row>
    <row r="50" spans="1:9" ht="31.5">
      <c r="A50" s="200"/>
      <c r="B50" s="227"/>
      <c r="C50" s="14" t="s">
        <v>258</v>
      </c>
      <c r="D50" s="12">
        <v>820</v>
      </c>
      <c r="I50" s="126">
        <f t="shared" si="15"/>
        <v>0</v>
      </c>
    </row>
    <row r="51" spans="1:9" ht="15.75">
      <c r="A51" s="200"/>
      <c r="B51" s="227"/>
      <c r="C51" s="14" t="s">
        <v>259</v>
      </c>
      <c r="D51" s="12">
        <v>821</v>
      </c>
      <c r="I51" s="126">
        <f t="shared" si="15"/>
        <v>0</v>
      </c>
    </row>
    <row r="52" spans="1:9" ht="15.75">
      <c r="A52" s="200"/>
      <c r="B52" s="227"/>
      <c r="C52" s="14" t="s">
        <v>260</v>
      </c>
      <c r="D52" s="12">
        <v>822</v>
      </c>
      <c r="I52" s="126">
        <f t="shared" si="15"/>
        <v>0</v>
      </c>
    </row>
    <row r="53" spans="1:9" ht="15.75">
      <c r="A53" s="200"/>
      <c r="B53" s="227"/>
      <c r="C53" s="14" t="s">
        <v>261</v>
      </c>
      <c r="D53" s="12">
        <v>823</v>
      </c>
      <c r="I53" s="126">
        <f t="shared" si="15"/>
        <v>0</v>
      </c>
    </row>
    <row r="54" spans="1:9" ht="15.75">
      <c r="A54" s="200"/>
      <c r="B54" s="227"/>
      <c r="C54" s="14" t="s">
        <v>262</v>
      </c>
      <c r="D54" s="12">
        <v>824</v>
      </c>
      <c r="E54" s="110">
        <v>372368.01876653155</v>
      </c>
      <c r="F54" s="110">
        <v>161333.35520264535</v>
      </c>
      <c r="G54" s="110">
        <v>2844.3550279343872</v>
      </c>
      <c r="H54" s="110">
        <v>11454.271002888687</v>
      </c>
      <c r="I54" s="126">
        <f t="shared" si="15"/>
        <v>548000</v>
      </c>
    </row>
    <row r="55" spans="1:9" ht="15.75">
      <c r="A55" s="200"/>
      <c r="B55" s="227"/>
      <c r="C55" s="14" t="s">
        <v>263</v>
      </c>
      <c r="D55" s="12">
        <v>825</v>
      </c>
      <c r="I55" s="126">
        <f t="shared" si="15"/>
        <v>0</v>
      </c>
    </row>
    <row r="56" spans="1:9" ht="15.75">
      <c r="A56" s="200"/>
      <c r="B56" s="227"/>
      <c r="C56" s="14" t="s">
        <v>264</v>
      </c>
      <c r="D56" s="12">
        <v>826</v>
      </c>
      <c r="I56" s="126">
        <f t="shared" si="15"/>
        <v>0</v>
      </c>
    </row>
    <row r="57" spans="1:9" ht="15.75">
      <c r="A57" s="200"/>
      <c r="B57" s="227"/>
      <c r="C57" s="239" t="s">
        <v>265</v>
      </c>
      <c r="D57" s="239"/>
      <c r="E57" s="112">
        <f t="shared" ref="E57:H57" si="16">SUM(E44:E56)</f>
        <v>381881.07034085901</v>
      </c>
      <c r="F57" s="112">
        <f t="shared" si="16"/>
        <v>165455.01026256694</v>
      </c>
      <c r="G57" s="112">
        <f t="shared" si="16"/>
        <v>2917.0210322976745</v>
      </c>
      <c r="H57" s="112">
        <f t="shared" si="16"/>
        <v>11746.898364276354</v>
      </c>
      <c r="I57" s="127">
        <f t="shared" ref="I57" si="17">SUM(I44:I56)</f>
        <v>562000</v>
      </c>
    </row>
    <row r="58" spans="1:9" ht="31.5">
      <c r="A58" s="200"/>
      <c r="B58" s="211" t="s">
        <v>178</v>
      </c>
      <c r="C58" s="14" t="s">
        <v>266</v>
      </c>
      <c r="D58" s="12">
        <v>830</v>
      </c>
      <c r="I58" s="126">
        <f t="shared" ref="I58:I65" si="18">SUM(E58:H58)</f>
        <v>0</v>
      </c>
    </row>
    <row r="59" spans="1:9" ht="31.5">
      <c r="A59" s="200"/>
      <c r="B59" s="211"/>
      <c r="C59" s="14" t="s">
        <v>267</v>
      </c>
      <c r="D59" s="12">
        <v>831</v>
      </c>
      <c r="I59" s="126">
        <f t="shared" si="18"/>
        <v>0</v>
      </c>
    </row>
    <row r="60" spans="1:9" ht="15.75">
      <c r="A60" s="200"/>
      <c r="B60" s="211"/>
      <c r="C60" s="14" t="s">
        <v>268</v>
      </c>
      <c r="D60" s="12">
        <v>832</v>
      </c>
      <c r="I60" s="126">
        <f t="shared" si="18"/>
        <v>0</v>
      </c>
    </row>
    <row r="61" spans="1:9" s="23" customFormat="1" ht="15.75">
      <c r="A61" s="200"/>
      <c r="B61" s="211"/>
      <c r="C61" s="14" t="s">
        <v>269</v>
      </c>
      <c r="D61" s="12">
        <v>833</v>
      </c>
      <c r="E61" s="110"/>
      <c r="F61" s="110"/>
      <c r="G61" s="110"/>
      <c r="H61" s="110"/>
      <c r="I61" s="126">
        <f t="shared" si="18"/>
        <v>0</v>
      </c>
    </row>
    <row r="62" spans="1:9" ht="31.5">
      <c r="A62" s="200"/>
      <c r="B62" s="211"/>
      <c r="C62" s="14" t="s">
        <v>270</v>
      </c>
      <c r="D62" s="12">
        <v>834</v>
      </c>
      <c r="I62" s="126">
        <f t="shared" si="18"/>
        <v>0</v>
      </c>
    </row>
    <row r="63" spans="1:9" ht="31.5">
      <c r="A63" s="200"/>
      <c r="B63" s="211"/>
      <c r="C63" s="14" t="s">
        <v>271</v>
      </c>
      <c r="D63" s="12">
        <v>835</v>
      </c>
      <c r="I63" s="126">
        <f t="shared" si="18"/>
        <v>0</v>
      </c>
    </row>
    <row r="64" spans="1:9" ht="15.75">
      <c r="A64" s="200"/>
      <c r="B64" s="211"/>
      <c r="C64" s="14" t="s">
        <v>272</v>
      </c>
      <c r="D64" s="12">
        <v>836</v>
      </c>
      <c r="I64" s="126">
        <f t="shared" si="18"/>
        <v>0</v>
      </c>
    </row>
    <row r="65" spans="1:9" ht="15.75">
      <c r="A65" s="200"/>
      <c r="B65" s="211"/>
      <c r="C65" s="14" t="s">
        <v>273</v>
      </c>
      <c r="D65" s="12">
        <v>837</v>
      </c>
      <c r="E65" s="110">
        <v>659118.57336411614</v>
      </c>
      <c r="F65" s="110">
        <v>285571.8148659963</v>
      </c>
      <c r="G65" s="110">
        <v>5034.7160165991891</v>
      </c>
      <c r="H65" s="110">
        <v>20274.895753288369</v>
      </c>
      <c r="I65" s="126">
        <f t="shared" si="18"/>
        <v>970000</v>
      </c>
    </row>
    <row r="66" spans="1:9" ht="15.75">
      <c r="A66" s="200"/>
      <c r="B66" s="211"/>
      <c r="C66" s="239" t="s">
        <v>274</v>
      </c>
      <c r="D66" s="239"/>
      <c r="E66" s="112">
        <f t="shared" ref="E66:H66" si="19">SUM(E58:E65)</f>
        <v>659118.57336411614</v>
      </c>
      <c r="F66" s="112">
        <f t="shared" si="19"/>
        <v>285571.8148659963</v>
      </c>
      <c r="G66" s="112">
        <f t="shared" si="19"/>
        <v>5034.7160165991891</v>
      </c>
      <c r="H66" s="112">
        <f t="shared" si="19"/>
        <v>20274.895753288369</v>
      </c>
      <c r="I66" s="127">
        <f t="shared" ref="I66" si="20">SUM(I58:I65)</f>
        <v>970000</v>
      </c>
    </row>
    <row r="67" spans="1:9" ht="15.75">
      <c r="A67" s="200"/>
      <c r="B67" s="211" t="s">
        <v>132</v>
      </c>
      <c r="C67" s="14" t="s">
        <v>252</v>
      </c>
      <c r="D67" s="98">
        <v>840</v>
      </c>
      <c r="I67" s="126">
        <f t="shared" ref="I67:I72" si="21">SUM(E67:H67)</f>
        <v>0</v>
      </c>
    </row>
    <row r="68" spans="1:9" ht="15.75">
      <c r="A68" s="200"/>
      <c r="B68" s="211"/>
      <c r="C68" s="14" t="s">
        <v>275</v>
      </c>
      <c r="D68" s="98">
        <v>841</v>
      </c>
      <c r="I68" s="126">
        <f t="shared" si="21"/>
        <v>0</v>
      </c>
    </row>
    <row r="69" spans="1:9" ht="15.75">
      <c r="A69" s="200"/>
      <c r="B69" s="211"/>
      <c r="C69" s="11" t="s">
        <v>264</v>
      </c>
      <c r="D69" s="98">
        <v>842</v>
      </c>
      <c r="I69" s="126">
        <f t="shared" si="21"/>
        <v>0</v>
      </c>
    </row>
    <row r="70" spans="1:9" ht="15.75">
      <c r="A70" s="200"/>
      <c r="B70" s="211"/>
      <c r="C70" s="11" t="s">
        <v>276</v>
      </c>
      <c r="D70" s="98">
        <v>842.1</v>
      </c>
      <c r="I70" s="126">
        <f t="shared" si="21"/>
        <v>0</v>
      </c>
    </row>
    <row r="71" spans="1:9" ht="15.75">
      <c r="A71" s="200"/>
      <c r="B71" s="211"/>
      <c r="C71" s="11" t="s">
        <v>277</v>
      </c>
      <c r="D71" s="98">
        <v>842.2</v>
      </c>
      <c r="I71" s="126">
        <f t="shared" si="21"/>
        <v>0</v>
      </c>
    </row>
    <row r="72" spans="1:9" ht="15.75">
      <c r="A72" s="200"/>
      <c r="B72" s="211"/>
      <c r="C72" s="11" t="s">
        <v>261</v>
      </c>
      <c r="D72" s="98">
        <v>842.3</v>
      </c>
      <c r="I72" s="126">
        <f t="shared" si="21"/>
        <v>0</v>
      </c>
    </row>
    <row r="73" spans="1:9" ht="15.75">
      <c r="A73" s="200"/>
      <c r="B73" s="211"/>
      <c r="C73" s="239" t="s">
        <v>132</v>
      </c>
      <c r="D73" s="239"/>
      <c r="E73" s="112">
        <f t="shared" ref="E73:H73" ca="1" si="22">SUM(E67:E73)</f>
        <v>0</v>
      </c>
      <c r="F73" s="112">
        <f t="shared" ca="1" si="22"/>
        <v>0</v>
      </c>
      <c r="G73" s="112">
        <f t="shared" ca="1" si="22"/>
        <v>0</v>
      </c>
      <c r="H73" s="112">
        <f t="shared" ca="1" si="22"/>
        <v>0</v>
      </c>
      <c r="I73" s="127">
        <f t="shared" ref="I73" ca="1" si="23">SUM(I67:I73)</f>
        <v>0</v>
      </c>
    </row>
    <row r="74" spans="1:9" ht="31.5">
      <c r="A74" s="200"/>
      <c r="B74" s="211" t="s">
        <v>133</v>
      </c>
      <c r="C74" s="11" t="s">
        <v>266</v>
      </c>
      <c r="D74" s="98">
        <v>843.1</v>
      </c>
      <c r="I74" s="126">
        <f t="shared" ref="I74:I82" si="24">SUM(E74:H74)</f>
        <v>0</v>
      </c>
    </row>
    <row r="75" spans="1:9" ht="31.5">
      <c r="A75" s="200"/>
      <c r="B75" s="211"/>
      <c r="C75" s="11" t="s">
        <v>267</v>
      </c>
      <c r="D75" s="98">
        <v>843.2</v>
      </c>
      <c r="I75" s="126">
        <f t="shared" si="24"/>
        <v>0</v>
      </c>
    </row>
    <row r="76" spans="1:9" ht="15.75">
      <c r="A76" s="200"/>
      <c r="B76" s="211"/>
      <c r="C76" s="11" t="s">
        <v>278</v>
      </c>
      <c r="D76" s="98">
        <v>843.3</v>
      </c>
      <c r="I76" s="126">
        <f t="shared" si="24"/>
        <v>0</v>
      </c>
    </row>
    <row r="77" spans="1:9" ht="15.75">
      <c r="A77" s="200"/>
      <c r="B77" s="211"/>
      <c r="C77" s="11" t="s">
        <v>272</v>
      </c>
      <c r="D77" s="98">
        <v>843.4</v>
      </c>
      <c r="I77" s="126">
        <f t="shared" si="24"/>
        <v>0</v>
      </c>
    </row>
    <row r="78" spans="1:9" ht="15.75">
      <c r="A78" s="200"/>
      <c r="B78" s="211"/>
      <c r="C78" s="11" t="s">
        <v>279</v>
      </c>
      <c r="D78" s="98">
        <v>843.5</v>
      </c>
      <c r="I78" s="126">
        <f t="shared" si="24"/>
        <v>0</v>
      </c>
    </row>
    <row r="79" spans="1:9" ht="15.75">
      <c r="A79" s="200"/>
      <c r="B79" s="211"/>
      <c r="C79" s="11" t="s">
        <v>280</v>
      </c>
      <c r="D79" s="98">
        <v>843.6</v>
      </c>
      <c r="I79" s="126">
        <f t="shared" si="24"/>
        <v>0</v>
      </c>
    </row>
    <row r="80" spans="1:9" ht="15.75">
      <c r="A80" s="200"/>
      <c r="B80" s="211"/>
      <c r="C80" s="11" t="s">
        <v>281</v>
      </c>
      <c r="D80" s="98">
        <v>843.7</v>
      </c>
      <c r="I80" s="126">
        <f t="shared" si="24"/>
        <v>0</v>
      </c>
    </row>
    <row r="81" spans="1:9" ht="31.5">
      <c r="A81" s="200"/>
      <c r="B81" s="211"/>
      <c r="C81" s="11" t="s">
        <v>282</v>
      </c>
      <c r="D81" s="98">
        <v>843.8</v>
      </c>
      <c r="I81" s="126">
        <f t="shared" si="24"/>
        <v>0</v>
      </c>
    </row>
    <row r="82" spans="1:9" ht="15.75">
      <c r="A82" s="200"/>
      <c r="B82" s="211"/>
      <c r="C82" s="11" t="s">
        <v>273</v>
      </c>
      <c r="D82" s="98">
        <v>843.9</v>
      </c>
      <c r="I82" s="126">
        <f t="shared" si="24"/>
        <v>0</v>
      </c>
    </row>
    <row r="83" spans="1:9" ht="15.75">
      <c r="A83" s="200"/>
      <c r="B83" s="207"/>
      <c r="C83" s="240" t="s">
        <v>133</v>
      </c>
      <c r="D83" s="240"/>
      <c r="E83" s="112">
        <f t="shared" ref="E83:H83" ca="1" si="25">SUM(E77:E83)</f>
        <v>0</v>
      </c>
      <c r="F83" s="112">
        <f t="shared" ca="1" si="25"/>
        <v>0</v>
      </c>
      <c r="G83" s="112">
        <f t="shared" ca="1" si="25"/>
        <v>0</v>
      </c>
      <c r="H83" s="112">
        <f t="shared" ca="1" si="25"/>
        <v>0</v>
      </c>
      <c r="I83" s="127">
        <f t="shared" ref="I83" ca="1" si="26">SUM(I77:I83)</f>
        <v>0</v>
      </c>
    </row>
    <row r="84" spans="1:9" ht="15.75">
      <c r="A84" s="201"/>
      <c r="B84" s="187" t="s">
        <v>179</v>
      </c>
      <c r="C84" s="188"/>
      <c r="D84" s="189"/>
      <c r="E84" s="115">
        <f t="shared" ref="E84:H84" ca="1" si="27">E57+E66+E73+E83</f>
        <v>1040999.6437049751</v>
      </c>
      <c r="F84" s="115">
        <f t="shared" ca="1" si="27"/>
        <v>451026.82512856321</v>
      </c>
      <c r="G84" s="115">
        <f t="shared" ca="1" si="27"/>
        <v>7951.7370488968636</v>
      </c>
      <c r="H84" s="115">
        <f t="shared" ca="1" si="27"/>
        <v>32021.794117564721</v>
      </c>
      <c r="I84" s="128">
        <f t="shared" ref="I84" ca="1" si="28">I57+I66+I73+I83</f>
        <v>1532000</v>
      </c>
    </row>
    <row r="85" spans="1:9" ht="15.75">
      <c r="A85" s="199" t="s">
        <v>180</v>
      </c>
      <c r="B85" s="211" t="s">
        <v>134</v>
      </c>
      <c r="C85" s="99" t="s">
        <v>252</v>
      </c>
      <c r="D85" s="97">
        <v>850</v>
      </c>
      <c r="I85" s="126">
        <f t="shared" ref="I85:I95" si="29">SUM(E85:H85)</f>
        <v>0</v>
      </c>
    </row>
    <row r="86" spans="1:9" ht="15.75">
      <c r="A86" s="200"/>
      <c r="B86" s="211"/>
      <c r="C86" s="11" t="s">
        <v>283</v>
      </c>
      <c r="D86" s="12">
        <v>851</v>
      </c>
      <c r="I86" s="126">
        <f t="shared" si="29"/>
        <v>0</v>
      </c>
    </row>
    <row r="87" spans="1:9" ht="15.75">
      <c r="A87" s="200"/>
      <c r="B87" s="211"/>
      <c r="C87" s="11" t="s">
        <v>284</v>
      </c>
      <c r="D87" s="12">
        <v>852</v>
      </c>
      <c r="I87" s="126">
        <f t="shared" si="29"/>
        <v>0</v>
      </c>
    </row>
    <row r="88" spans="1:9" ht="15.75">
      <c r="A88" s="200"/>
      <c r="B88" s="211"/>
      <c r="C88" s="11" t="s">
        <v>285</v>
      </c>
      <c r="D88" s="12">
        <v>853</v>
      </c>
      <c r="I88" s="126">
        <f t="shared" si="29"/>
        <v>0</v>
      </c>
    </row>
    <row r="89" spans="1:9" ht="15.75">
      <c r="A89" s="200"/>
      <c r="B89" s="211"/>
      <c r="C89" s="11" t="s">
        <v>286</v>
      </c>
      <c r="D89" s="12">
        <v>854</v>
      </c>
      <c r="I89" s="126">
        <f t="shared" si="29"/>
        <v>0</v>
      </c>
    </row>
    <row r="90" spans="1:9" ht="31.5">
      <c r="A90" s="200"/>
      <c r="B90" s="211"/>
      <c r="C90" s="11" t="s">
        <v>287</v>
      </c>
      <c r="D90" s="12">
        <v>855</v>
      </c>
      <c r="I90" s="126">
        <f t="shared" si="29"/>
        <v>0</v>
      </c>
    </row>
    <row r="91" spans="1:9" ht="15.75">
      <c r="A91" s="200"/>
      <c r="B91" s="211"/>
      <c r="C91" s="11" t="s">
        <v>288</v>
      </c>
      <c r="D91" s="12">
        <v>856</v>
      </c>
      <c r="I91" s="126">
        <f t="shared" si="29"/>
        <v>0</v>
      </c>
    </row>
    <row r="92" spans="1:9" ht="31.5">
      <c r="A92" s="200"/>
      <c r="B92" s="211"/>
      <c r="C92" s="11" t="s">
        <v>258</v>
      </c>
      <c r="D92" s="12">
        <v>857</v>
      </c>
      <c r="I92" s="126">
        <f t="shared" si="29"/>
        <v>0</v>
      </c>
    </row>
    <row r="93" spans="1:9" ht="31.5">
      <c r="A93" s="200"/>
      <c r="B93" s="211"/>
      <c r="C93" s="11" t="s">
        <v>289</v>
      </c>
      <c r="D93" s="12">
        <v>858</v>
      </c>
      <c r="I93" s="126">
        <f t="shared" si="29"/>
        <v>0</v>
      </c>
    </row>
    <row r="94" spans="1:9" ht="15.75">
      <c r="A94" s="200"/>
      <c r="B94" s="211"/>
      <c r="C94" s="11" t="s">
        <v>262</v>
      </c>
      <c r="D94" s="12">
        <v>859</v>
      </c>
      <c r="I94" s="126">
        <f t="shared" si="29"/>
        <v>0</v>
      </c>
    </row>
    <row r="95" spans="1:9" ht="15.75">
      <c r="A95" s="200"/>
      <c r="B95" s="211"/>
      <c r="C95" s="11" t="s">
        <v>264</v>
      </c>
      <c r="D95" s="12">
        <v>860</v>
      </c>
      <c r="I95" s="126">
        <f t="shared" si="29"/>
        <v>0</v>
      </c>
    </row>
    <row r="96" spans="1:9" ht="15.75">
      <c r="A96" s="200"/>
      <c r="B96" s="211"/>
      <c r="C96" s="240" t="s">
        <v>132</v>
      </c>
      <c r="D96" s="240"/>
      <c r="E96" s="112">
        <f t="shared" ref="E96:H96" ca="1" si="30">SUM(E85:E96)</f>
        <v>0</v>
      </c>
      <c r="F96" s="112">
        <f t="shared" ca="1" si="30"/>
        <v>0</v>
      </c>
      <c r="G96" s="112">
        <f t="shared" ca="1" si="30"/>
        <v>0</v>
      </c>
      <c r="H96" s="112">
        <f t="shared" ca="1" si="30"/>
        <v>0</v>
      </c>
      <c r="I96" s="127">
        <f t="shared" ref="I96" ca="1" si="31">SUM(I85:I96)</f>
        <v>0</v>
      </c>
    </row>
    <row r="97" spans="1:9" ht="31.5">
      <c r="A97" s="200"/>
      <c r="B97" s="211" t="s">
        <v>135</v>
      </c>
      <c r="C97" s="11" t="s">
        <v>266</v>
      </c>
      <c r="D97" s="12">
        <v>861</v>
      </c>
      <c r="I97" s="126">
        <f t="shared" ref="I97:I104" si="32">SUM(E97:H97)</f>
        <v>0</v>
      </c>
    </row>
    <row r="98" spans="1:9" ht="31.5">
      <c r="A98" s="200"/>
      <c r="B98" s="211"/>
      <c r="C98" s="11" t="s">
        <v>267</v>
      </c>
      <c r="D98" s="12">
        <v>862</v>
      </c>
      <c r="I98" s="126">
        <f t="shared" si="32"/>
        <v>0</v>
      </c>
    </row>
    <row r="99" spans="1:9" ht="15.75">
      <c r="A99" s="200"/>
      <c r="B99" s="211"/>
      <c r="C99" s="11" t="s">
        <v>290</v>
      </c>
      <c r="D99" s="12">
        <v>863</v>
      </c>
      <c r="I99" s="126">
        <f t="shared" si="32"/>
        <v>0</v>
      </c>
    </row>
    <row r="100" spans="1:9" ht="31.5">
      <c r="A100" s="200"/>
      <c r="B100" s="211"/>
      <c r="C100" s="11" t="s">
        <v>270</v>
      </c>
      <c r="D100" s="12">
        <v>864</v>
      </c>
      <c r="I100" s="126">
        <f t="shared" si="32"/>
        <v>0</v>
      </c>
    </row>
    <row r="101" spans="1:9" ht="31.5">
      <c r="A101" s="200"/>
      <c r="B101" s="211"/>
      <c r="C101" s="11" t="s">
        <v>271</v>
      </c>
      <c r="D101" s="12">
        <v>865</v>
      </c>
      <c r="I101" s="126">
        <f t="shared" si="32"/>
        <v>0</v>
      </c>
    </row>
    <row r="102" spans="1:9" ht="31.5">
      <c r="A102" s="200"/>
      <c r="B102" s="211"/>
      <c r="C102" s="11" t="s">
        <v>291</v>
      </c>
      <c r="D102" s="12">
        <v>866</v>
      </c>
      <c r="I102" s="126">
        <f t="shared" si="32"/>
        <v>0</v>
      </c>
    </row>
    <row r="103" spans="1:9" ht="15.75">
      <c r="A103" s="200"/>
      <c r="B103" s="211"/>
      <c r="C103" s="11" t="s">
        <v>273</v>
      </c>
      <c r="D103" s="12">
        <v>867</v>
      </c>
      <c r="I103" s="126">
        <f t="shared" si="32"/>
        <v>0</v>
      </c>
    </row>
    <row r="104" spans="1:9" ht="15.75">
      <c r="A104" s="200"/>
      <c r="B104" s="211"/>
      <c r="C104" s="116" t="s">
        <v>252</v>
      </c>
      <c r="D104" s="117">
        <v>870</v>
      </c>
      <c r="E104" s="110">
        <v>1163003.300093947</v>
      </c>
      <c r="F104" s="110">
        <v>224008.10376689368</v>
      </c>
      <c r="G104" s="110">
        <v>2779.517136235308</v>
      </c>
      <c r="H104" s="110">
        <v>76209.077949577797</v>
      </c>
      <c r="I104" s="126">
        <f t="shared" si="32"/>
        <v>1465999.9989466537</v>
      </c>
    </row>
    <row r="105" spans="1:9" ht="15.75">
      <c r="A105" s="200"/>
      <c r="B105" s="211"/>
      <c r="C105" s="241" t="s">
        <v>133</v>
      </c>
      <c r="D105" s="242"/>
      <c r="E105" s="112">
        <f t="shared" ref="E105:H105" si="33">SUM(E97:E104)</f>
        <v>1163003.300093947</v>
      </c>
      <c r="F105" s="112">
        <f t="shared" si="33"/>
        <v>224008.10376689368</v>
      </c>
      <c r="G105" s="112">
        <f t="shared" si="33"/>
        <v>2779.517136235308</v>
      </c>
      <c r="H105" s="112">
        <f t="shared" si="33"/>
        <v>76209.077949577797</v>
      </c>
      <c r="I105" s="127">
        <f t="shared" ref="I105" si="34">SUM(I97:I104)</f>
        <v>1465999.9989466537</v>
      </c>
    </row>
    <row r="106" spans="1:9" ht="15.75">
      <c r="A106" s="201"/>
      <c r="B106" s="187" t="s">
        <v>180</v>
      </c>
      <c r="C106" s="188"/>
      <c r="D106" s="189"/>
      <c r="E106" s="115">
        <f t="shared" ref="E106:H106" ca="1" si="35">E96+E105</f>
        <v>1163003.300093947</v>
      </c>
      <c r="F106" s="115">
        <f t="shared" ca="1" si="35"/>
        <v>224008.10376689368</v>
      </c>
      <c r="G106" s="115">
        <f t="shared" ca="1" si="35"/>
        <v>2779.517136235308</v>
      </c>
      <c r="H106" s="115">
        <f t="shared" ca="1" si="35"/>
        <v>76209.077949577797</v>
      </c>
      <c r="I106" s="128">
        <f t="shared" ref="I106" ca="1" si="36">I96+I105</f>
        <v>1465999.9989466537</v>
      </c>
    </row>
    <row r="107" spans="1:9" ht="15.75">
      <c r="A107" s="199" t="s">
        <v>181</v>
      </c>
      <c r="B107" s="202" t="s">
        <v>136</v>
      </c>
      <c r="C107" s="14" t="s">
        <v>292</v>
      </c>
      <c r="D107" s="100">
        <v>871</v>
      </c>
      <c r="I107" s="126">
        <f t="shared" ref="I107:I117" si="37">SUM(E107:H107)</f>
        <v>0</v>
      </c>
    </row>
    <row r="108" spans="1:9" ht="15.75">
      <c r="A108" s="200"/>
      <c r="B108" s="203"/>
      <c r="C108" s="14" t="s">
        <v>285</v>
      </c>
      <c r="D108" s="100">
        <v>872</v>
      </c>
      <c r="I108" s="126">
        <f t="shared" si="37"/>
        <v>0</v>
      </c>
    </row>
    <row r="109" spans="1:9" ht="31.5">
      <c r="A109" s="200"/>
      <c r="B109" s="203"/>
      <c r="C109" s="14" t="s">
        <v>293</v>
      </c>
      <c r="D109" s="100">
        <v>873</v>
      </c>
      <c r="I109" s="126">
        <f t="shared" si="37"/>
        <v>0</v>
      </c>
    </row>
    <row r="110" spans="1:9" ht="15.75">
      <c r="A110" s="200"/>
      <c r="B110" s="203"/>
      <c r="C110" s="14" t="s">
        <v>294</v>
      </c>
      <c r="D110" s="100">
        <v>874</v>
      </c>
      <c r="E110" s="110">
        <v>2576636.5006788955</v>
      </c>
      <c r="F110" s="110">
        <v>493130.3707386647</v>
      </c>
      <c r="G110" s="110">
        <v>6046.2397012700803</v>
      </c>
      <c r="H110" s="110">
        <v>179186.8862265803</v>
      </c>
      <c r="I110" s="126">
        <f t="shared" si="37"/>
        <v>3254999.9973454108</v>
      </c>
    </row>
    <row r="111" spans="1:9" ht="31.5">
      <c r="A111" s="200"/>
      <c r="B111" s="203"/>
      <c r="C111" s="14" t="s">
        <v>295</v>
      </c>
      <c r="D111" s="100">
        <v>875</v>
      </c>
      <c r="E111" s="110">
        <v>64632.561435621901</v>
      </c>
      <c r="F111" s="110">
        <v>24660.994929034539</v>
      </c>
      <c r="G111" s="110">
        <v>404.39205045883631</v>
      </c>
      <c r="H111" s="110">
        <v>12302.051584884695</v>
      </c>
      <c r="I111" s="126">
        <f t="shared" si="37"/>
        <v>101999.99999999997</v>
      </c>
    </row>
    <row r="112" spans="1:9" ht="31.5">
      <c r="A112" s="200"/>
      <c r="B112" s="203"/>
      <c r="C112" s="14" t="s">
        <v>296</v>
      </c>
      <c r="D112" s="100">
        <v>876</v>
      </c>
      <c r="E112" s="110">
        <v>0</v>
      </c>
      <c r="F112" s="110">
        <v>11041.964037246475</v>
      </c>
      <c r="G112" s="110">
        <v>186.95834694383342</v>
      </c>
      <c r="H112" s="110">
        <v>1771.0776158096908</v>
      </c>
      <c r="I112" s="126">
        <f t="shared" si="37"/>
        <v>12999.999999999998</v>
      </c>
    </row>
    <row r="113" spans="1:9" ht="31.5">
      <c r="A113" s="200"/>
      <c r="B113" s="203"/>
      <c r="C113" s="14" t="s">
        <v>297</v>
      </c>
      <c r="D113" s="100">
        <v>877</v>
      </c>
      <c r="E113" s="110">
        <v>41821.069164225933</v>
      </c>
      <c r="F113" s="110">
        <v>15957.114365845879</v>
      </c>
      <c r="G113" s="110">
        <v>261.66544441454113</v>
      </c>
      <c r="H113" s="110">
        <v>7960.1510255136263</v>
      </c>
      <c r="I113" s="126">
        <f t="shared" si="37"/>
        <v>65999.999999999971</v>
      </c>
    </row>
    <row r="114" spans="1:9" ht="15.75">
      <c r="A114" s="200"/>
      <c r="B114" s="203"/>
      <c r="C114" s="14" t="s">
        <v>298</v>
      </c>
      <c r="D114" s="100">
        <v>878</v>
      </c>
      <c r="E114" s="110">
        <v>290614.56149360747</v>
      </c>
      <c r="F114" s="110">
        <v>37938.551263839559</v>
      </c>
      <c r="G114" s="110">
        <v>423.98684393345241</v>
      </c>
      <c r="H114" s="110">
        <v>4022.9003986195376</v>
      </c>
      <c r="I114" s="126">
        <f t="shared" si="37"/>
        <v>333000.00000000006</v>
      </c>
    </row>
    <row r="115" spans="1:9" ht="15.75">
      <c r="A115" s="200"/>
      <c r="B115" s="203"/>
      <c r="C115" s="14" t="s">
        <v>299</v>
      </c>
      <c r="D115" s="100">
        <v>879</v>
      </c>
      <c r="E115" s="110">
        <v>1494231.2601857116</v>
      </c>
      <c r="F115" s="110">
        <v>28380.846693196894</v>
      </c>
      <c r="G115" s="110">
        <v>18.471101004358538</v>
      </c>
      <c r="H115" s="110">
        <v>369.42202008717072</v>
      </c>
      <c r="I115" s="126">
        <f t="shared" si="37"/>
        <v>1523000</v>
      </c>
    </row>
    <row r="116" spans="1:9" ht="15.75">
      <c r="A116" s="200"/>
      <c r="B116" s="203"/>
      <c r="C116" s="14" t="s">
        <v>262</v>
      </c>
      <c r="D116" s="100">
        <v>880</v>
      </c>
      <c r="E116" s="110">
        <v>1843153.687398053</v>
      </c>
      <c r="F116" s="110">
        <v>285423.73800201144</v>
      </c>
      <c r="G116" s="110">
        <v>3521.4448851515617</v>
      </c>
      <c r="H116" s="110">
        <v>89901.128454067293</v>
      </c>
      <c r="I116" s="126">
        <f t="shared" si="37"/>
        <v>2221999.9987392831</v>
      </c>
    </row>
    <row r="117" spans="1:9" ht="15.75">
      <c r="A117" s="200"/>
      <c r="B117" s="203"/>
      <c r="C117" s="14" t="s">
        <v>264</v>
      </c>
      <c r="D117" s="100">
        <v>881</v>
      </c>
      <c r="E117" s="110">
        <v>26544.067505282492</v>
      </c>
      <c r="F117" s="110">
        <v>4110.5128785168163</v>
      </c>
      <c r="G117" s="110">
        <v>50.71387773395589</v>
      </c>
      <c r="H117" s="110">
        <v>1294.7057203106001</v>
      </c>
      <c r="I117" s="126">
        <f t="shared" si="37"/>
        <v>31999.999981843866</v>
      </c>
    </row>
    <row r="118" spans="1:9" ht="15.75">
      <c r="A118" s="200"/>
      <c r="B118" s="204"/>
      <c r="C118" s="244" t="s">
        <v>137</v>
      </c>
      <c r="D118" s="245"/>
      <c r="E118" s="112">
        <f t="shared" ref="E118:H118" si="38">SUM(E107:E117)</f>
        <v>6337633.7078613974</v>
      </c>
      <c r="F118" s="112">
        <f t="shared" si="38"/>
        <v>900644.09290835634</v>
      </c>
      <c r="G118" s="112">
        <f t="shared" si="38"/>
        <v>10913.872250910617</v>
      </c>
      <c r="H118" s="112">
        <f t="shared" si="38"/>
        <v>296808.32304587291</v>
      </c>
      <c r="I118" s="127">
        <f t="shared" ref="I118" si="39">SUM(I107:I117)</f>
        <v>7545999.9960665377</v>
      </c>
    </row>
    <row r="119" spans="1:9" ht="31.5">
      <c r="A119" s="200"/>
      <c r="B119" s="207" t="s">
        <v>138</v>
      </c>
      <c r="C119" s="11" t="s">
        <v>266</v>
      </c>
      <c r="D119" s="98">
        <v>885</v>
      </c>
      <c r="E119" s="110">
        <v>80918.374222089085</v>
      </c>
      <c r="F119" s="110">
        <v>15585.829866455086</v>
      </c>
      <c r="G119" s="110">
        <v>193.39068751432566</v>
      </c>
      <c r="H119" s="110">
        <v>5302.405150652753</v>
      </c>
      <c r="I119" s="126">
        <f t="shared" ref="I119:I128" si="40">SUM(E119:H119)</f>
        <v>101999.99992671124</v>
      </c>
    </row>
    <row r="120" spans="1:9" ht="31.5">
      <c r="A120" s="200"/>
      <c r="B120" s="208"/>
      <c r="C120" s="11" t="s">
        <v>267</v>
      </c>
      <c r="D120" s="98">
        <v>886</v>
      </c>
      <c r="E120" s="110">
        <v>0</v>
      </c>
      <c r="F120" s="110">
        <v>0</v>
      </c>
      <c r="G120" s="110">
        <v>0</v>
      </c>
      <c r="H120" s="110">
        <v>0</v>
      </c>
      <c r="I120" s="126">
        <f t="shared" si="40"/>
        <v>0</v>
      </c>
    </row>
    <row r="121" spans="1:9" ht="15.75">
      <c r="A121" s="200"/>
      <c r="B121" s="208"/>
      <c r="C121" s="11" t="s">
        <v>290</v>
      </c>
      <c r="D121" s="98">
        <v>887</v>
      </c>
      <c r="E121" s="110">
        <v>544879.46844595019</v>
      </c>
      <c r="F121" s="110">
        <v>208751.14843906707</v>
      </c>
      <c r="G121" s="110">
        <v>2673.1063031895637</v>
      </c>
      <c r="H121" s="110">
        <v>77696.276811793025</v>
      </c>
      <c r="I121" s="126">
        <f t="shared" si="40"/>
        <v>833999.99999999977</v>
      </c>
    </row>
    <row r="122" spans="1:9" ht="31.5">
      <c r="A122" s="200"/>
      <c r="B122" s="208"/>
      <c r="C122" s="11" t="s">
        <v>270</v>
      </c>
      <c r="D122" s="98">
        <v>888</v>
      </c>
      <c r="I122" s="126">
        <f t="shared" si="40"/>
        <v>0</v>
      </c>
    </row>
    <row r="123" spans="1:9" ht="31.5">
      <c r="A123" s="200"/>
      <c r="B123" s="208"/>
      <c r="C123" s="11" t="s">
        <v>300</v>
      </c>
      <c r="D123" s="98">
        <v>889</v>
      </c>
      <c r="E123" s="110">
        <v>140670.86900694179</v>
      </c>
      <c r="F123" s="110">
        <v>53673.930139663411</v>
      </c>
      <c r="G123" s="110">
        <v>880.14740393982015</v>
      </c>
      <c r="H123" s="110">
        <v>26775.053449454925</v>
      </c>
      <c r="I123" s="126">
        <f t="shared" si="40"/>
        <v>221999.99999999994</v>
      </c>
    </row>
    <row r="124" spans="1:9" ht="31.5">
      <c r="A124" s="200"/>
      <c r="B124" s="208"/>
      <c r="C124" s="11" t="s">
        <v>301</v>
      </c>
      <c r="D124" s="98">
        <v>890</v>
      </c>
      <c r="E124" s="110">
        <v>0</v>
      </c>
      <c r="F124" s="110">
        <v>48414.765394080692</v>
      </c>
      <c r="G124" s="110">
        <v>819.74044429219271</v>
      </c>
      <c r="H124" s="110">
        <v>7765.4941616271062</v>
      </c>
      <c r="I124" s="126">
        <f t="shared" si="40"/>
        <v>56999.999999999985</v>
      </c>
    </row>
    <row r="125" spans="1:9" ht="31.5">
      <c r="A125" s="200"/>
      <c r="B125" s="208"/>
      <c r="C125" s="11" t="s">
        <v>302</v>
      </c>
      <c r="D125" s="98">
        <v>891</v>
      </c>
      <c r="E125" s="110">
        <v>25346.102523773294</v>
      </c>
      <c r="F125" s="110">
        <v>9670.9784035429566</v>
      </c>
      <c r="G125" s="110">
        <v>158.58511782699463</v>
      </c>
      <c r="H125" s="110">
        <v>4824.3339548567428</v>
      </c>
      <c r="I125" s="126">
        <f t="shared" si="40"/>
        <v>39999.999999999993</v>
      </c>
    </row>
    <row r="126" spans="1:9" ht="15.75">
      <c r="A126" s="200"/>
      <c r="B126" s="208"/>
      <c r="C126" s="11" t="s">
        <v>303</v>
      </c>
      <c r="D126" s="98">
        <v>892</v>
      </c>
      <c r="E126" s="110">
        <v>1118389.8946009274</v>
      </c>
      <c r="F126" s="110">
        <v>21242.262150200644</v>
      </c>
      <c r="G126" s="110">
        <v>50.757289620028658</v>
      </c>
      <c r="H126" s="110">
        <v>4317.0837710122987</v>
      </c>
      <c r="I126" s="126">
        <f t="shared" si="40"/>
        <v>1143999.9978117603</v>
      </c>
    </row>
    <row r="127" spans="1:9" ht="31.5">
      <c r="A127" s="200"/>
      <c r="B127" s="208"/>
      <c r="C127" s="11" t="s">
        <v>304</v>
      </c>
      <c r="D127" s="98">
        <v>893</v>
      </c>
      <c r="E127" s="110">
        <v>1231402.8416440845</v>
      </c>
      <c r="F127" s="110">
        <v>160754.64214197482</v>
      </c>
      <c r="G127" s="110">
        <v>1796.5328432135175</v>
      </c>
      <c r="H127" s="110">
        <v>17045.98337072723</v>
      </c>
      <c r="I127" s="126">
        <f t="shared" si="40"/>
        <v>1411000</v>
      </c>
    </row>
    <row r="128" spans="1:9" ht="15.75">
      <c r="A128" s="200"/>
      <c r="B128" s="208"/>
      <c r="C128" s="11" t="s">
        <v>273</v>
      </c>
      <c r="D128" s="98">
        <v>894</v>
      </c>
      <c r="E128" s="110">
        <v>139623.86140282039</v>
      </c>
      <c r="F128" s="110">
        <v>26893.196632314659</v>
      </c>
      <c r="G128" s="110">
        <v>333.69373531883645</v>
      </c>
      <c r="H128" s="110">
        <v>9149.248103087104</v>
      </c>
      <c r="I128" s="126">
        <f t="shared" si="40"/>
        <v>175999.99987354098</v>
      </c>
    </row>
    <row r="129" spans="1:9" ht="15.75">
      <c r="A129" s="200"/>
      <c r="B129" s="209"/>
      <c r="C129" s="239" t="s">
        <v>139</v>
      </c>
      <c r="D129" s="245"/>
      <c r="E129" s="112">
        <f t="shared" ref="E129:H129" si="41">SUM(E119:E128)</f>
        <v>3281231.4118465865</v>
      </c>
      <c r="F129" s="112">
        <f t="shared" si="41"/>
        <v>544986.75316729944</v>
      </c>
      <c r="G129" s="112">
        <f t="shared" si="41"/>
        <v>6905.9538249152802</v>
      </c>
      <c r="H129" s="112">
        <f t="shared" si="41"/>
        <v>152875.87877321118</v>
      </c>
      <c r="I129" s="127">
        <f t="shared" ref="I129" si="42">SUM(I119:I128)</f>
        <v>3985999.9976120121</v>
      </c>
    </row>
    <row r="130" spans="1:9" ht="15.75">
      <c r="A130" s="201"/>
      <c r="B130" s="187" t="s">
        <v>181</v>
      </c>
      <c r="C130" s="188"/>
      <c r="D130" s="189"/>
      <c r="E130" s="115">
        <f t="shared" ref="E130:H130" si="43">E118+E129</f>
        <v>9618865.119707983</v>
      </c>
      <c r="F130" s="115">
        <f t="shared" si="43"/>
        <v>1445630.8460756559</v>
      </c>
      <c r="G130" s="115">
        <f t="shared" si="43"/>
        <v>17819.826075825898</v>
      </c>
      <c r="H130" s="115">
        <f t="shared" si="43"/>
        <v>449684.20181908412</v>
      </c>
      <c r="I130" s="128">
        <f t="shared" ref="I130" si="44">I118+I129</f>
        <v>11531999.993678549</v>
      </c>
    </row>
    <row r="131" spans="1:9" ht="31.5">
      <c r="A131" s="193" t="s">
        <v>182</v>
      </c>
      <c r="B131" s="175" t="s">
        <v>197</v>
      </c>
      <c r="C131" s="176"/>
      <c r="D131" s="101" t="s">
        <v>4</v>
      </c>
      <c r="E131" s="110">
        <v>6880848.4988373108</v>
      </c>
      <c r="F131" s="110">
        <v>199687.39814259362</v>
      </c>
      <c r="G131" s="110">
        <v>944.52254174050972</v>
      </c>
      <c r="H131" s="110">
        <v>15519.580478355372</v>
      </c>
      <c r="I131" s="126">
        <f t="shared" ref="I131" si="45">SUM(E131:H131)</f>
        <v>7097000.0000000009</v>
      </c>
    </row>
    <row r="132" spans="1:9" ht="15.75">
      <c r="A132" s="193"/>
      <c r="B132" s="187" t="s">
        <v>182</v>
      </c>
      <c r="C132" s="188"/>
      <c r="D132" s="189"/>
      <c r="E132" s="115">
        <f t="shared" ref="E132:H132" si="46">E131</f>
        <v>6880848.4988373108</v>
      </c>
      <c r="F132" s="115">
        <f t="shared" si="46"/>
        <v>199687.39814259362</v>
      </c>
      <c r="G132" s="115">
        <f t="shared" si="46"/>
        <v>944.52254174050972</v>
      </c>
      <c r="H132" s="115">
        <f t="shared" si="46"/>
        <v>15519.580478355372</v>
      </c>
      <c r="I132" s="128">
        <f t="shared" ref="I132" si="47">I131</f>
        <v>7097000.0000000009</v>
      </c>
    </row>
    <row r="133" spans="1:9" ht="15.75">
      <c r="A133" s="193" t="s">
        <v>184</v>
      </c>
      <c r="B133" s="196" t="s">
        <v>305</v>
      </c>
      <c r="C133" s="164"/>
      <c r="D133" s="22" t="s">
        <v>5</v>
      </c>
      <c r="E133" s="110">
        <v>1235218.0936137957</v>
      </c>
      <c r="F133" s="110">
        <v>23461.251468637489</v>
      </c>
      <c r="G133" s="110">
        <v>15.269281788895205</v>
      </c>
      <c r="H133" s="110">
        <v>305.3856357779041</v>
      </c>
      <c r="I133" s="126">
        <f t="shared" ref="I133" si="48">SUM(E133:H133)</f>
        <v>1259000</v>
      </c>
    </row>
    <row r="134" spans="1:9" ht="15.75">
      <c r="A134" s="193"/>
      <c r="B134" s="187" t="s">
        <v>184</v>
      </c>
      <c r="C134" s="188"/>
      <c r="D134" s="189"/>
      <c r="E134" s="115">
        <f t="shared" ref="E134:H134" si="49">E133</f>
        <v>1235218.0936137957</v>
      </c>
      <c r="F134" s="115">
        <f t="shared" si="49"/>
        <v>23461.251468637489</v>
      </c>
      <c r="G134" s="115">
        <f t="shared" si="49"/>
        <v>15.269281788895205</v>
      </c>
      <c r="H134" s="115">
        <f t="shared" si="49"/>
        <v>305.3856357779041</v>
      </c>
      <c r="I134" s="128">
        <f t="shared" ref="I134" si="50">I133</f>
        <v>1259000</v>
      </c>
    </row>
    <row r="135" spans="1:9" ht="63">
      <c r="A135" s="161" t="s">
        <v>6</v>
      </c>
      <c r="B135" s="175" t="s">
        <v>306</v>
      </c>
      <c r="C135" s="176"/>
      <c r="D135" s="12" t="s">
        <v>7</v>
      </c>
      <c r="E135" s="110">
        <f>13645283.8504529</f>
        <v>13645283.8504529</v>
      </c>
      <c r="F135" s="110">
        <f>1561671.21556178</f>
        <v>1561671.2155617799</v>
      </c>
      <c r="G135" s="110">
        <v>19291.128138997385</v>
      </c>
      <c r="H135" s="110">
        <v>404753.84036283044</v>
      </c>
      <c r="I135" s="126">
        <f t="shared" ref="I135" si="51">SUM(E135:H135)</f>
        <v>15631000.034516506</v>
      </c>
    </row>
    <row r="136" spans="1:9" ht="15.75">
      <c r="A136" s="163"/>
      <c r="B136" s="184" t="s">
        <v>140</v>
      </c>
      <c r="C136" s="186"/>
      <c r="D136" s="185"/>
      <c r="E136" s="112">
        <f t="shared" ref="E136:H136" si="52">E135</f>
        <v>13645283.8504529</v>
      </c>
      <c r="F136" s="112">
        <f t="shared" si="52"/>
        <v>1561671.2155617799</v>
      </c>
      <c r="G136" s="112">
        <f t="shared" si="52"/>
        <v>19291.128138997385</v>
      </c>
      <c r="H136" s="112">
        <f t="shared" si="52"/>
        <v>404753.84036283044</v>
      </c>
      <c r="I136" s="127">
        <f t="shared" ref="I136" si="53">I135</f>
        <v>15631000.034516506</v>
      </c>
    </row>
    <row r="137" spans="1:9" ht="15.75">
      <c r="A137" s="237" t="s">
        <v>195</v>
      </c>
      <c r="B137" s="237"/>
      <c r="C137" s="237"/>
      <c r="D137" s="238"/>
      <c r="E137" s="115">
        <f ca="1">E43+E84+E106+E130+E132+E134+E136</f>
        <v>34258818.506410912</v>
      </c>
      <c r="F137" s="115">
        <f t="shared" ref="F137:I137" ca="1" si="54">F43+F84+F106+F130+F132+F134+F136</f>
        <v>4192682.6401441237</v>
      </c>
      <c r="G137" s="115">
        <f t="shared" ca="1" si="54"/>
        <v>53766.000223484865</v>
      </c>
      <c r="H137" s="115">
        <f t="shared" ca="1" si="54"/>
        <v>1010732.8803631904</v>
      </c>
      <c r="I137" s="115">
        <f t="shared" ca="1" si="54"/>
        <v>39516000.027141705</v>
      </c>
    </row>
    <row r="138" spans="1:9" ht="15.75">
      <c r="A138" s="193" t="s">
        <v>8</v>
      </c>
      <c r="B138" s="194" t="s">
        <v>141</v>
      </c>
      <c r="C138" s="195"/>
      <c r="D138" s="102" t="s">
        <v>9</v>
      </c>
      <c r="I138" s="126">
        <f t="shared" ref="I138:I144" si="55">SUM(E138:H138)</f>
        <v>0</v>
      </c>
    </row>
    <row r="139" spans="1:9" ht="15.75">
      <c r="A139" s="193"/>
      <c r="B139" s="194" t="s">
        <v>142</v>
      </c>
      <c r="C139" s="195"/>
      <c r="D139" s="102" t="s">
        <v>9</v>
      </c>
      <c r="I139" s="126">
        <f t="shared" si="55"/>
        <v>0</v>
      </c>
    </row>
    <row r="140" spans="1:9" ht="15.75">
      <c r="A140" s="193"/>
      <c r="B140" s="194" t="s">
        <v>143</v>
      </c>
      <c r="C140" s="195"/>
      <c r="D140" s="102" t="s">
        <v>9</v>
      </c>
      <c r="E140" s="110">
        <v>289468.56933310663</v>
      </c>
      <c r="F140" s="110">
        <v>125416.07539475715</v>
      </c>
      <c r="G140" s="110">
        <v>2211.1227041971697</v>
      </c>
      <c r="H140" s="110">
        <v>8904.232567939016</v>
      </c>
      <c r="I140" s="126">
        <f t="shared" si="55"/>
        <v>426000</v>
      </c>
    </row>
    <row r="141" spans="1:9" ht="15.75">
      <c r="A141" s="193"/>
      <c r="B141" s="194" t="s">
        <v>10</v>
      </c>
      <c r="C141" s="195"/>
      <c r="D141" s="102" t="s">
        <v>9</v>
      </c>
      <c r="I141" s="126">
        <f t="shared" si="55"/>
        <v>0</v>
      </c>
    </row>
    <row r="142" spans="1:9" ht="15.75">
      <c r="A142" s="193"/>
      <c r="B142" s="194" t="s">
        <v>11</v>
      </c>
      <c r="C142" s="195"/>
      <c r="D142" s="102" t="s">
        <v>9</v>
      </c>
      <c r="E142" s="110">
        <v>9443538.047579756</v>
      </c>
      <c r="F142" s="110">
        <v>1771252.6138423425</v>
      </c>
      <c r="G142" s="110">
        <v>21878.375536519667</v>
      </c>
      <c r="H142" s="110">
        <v>590330.9549511834</v>
      </c>
      <c r="I142" s="126">
        <f t="shared" si="55"/>
        <v>11826999.991909802</v>
      </c>
    </row>
    <row r="143" spans="1:9" ht="15.75">
      <c r="A143" s="193"/>
      <c r="B143" s="194" t="s">
        <v>12</v>
      </c>
      <c r="C143" s="195"/>
      <c r="D143" s="102" t="s">
        <v>9</v>
      </c>
      <c r="E143" s="110">
        <v>4887246.5521074757</v>
      </c>
      <c r="F143" s="110">
        <v>547702.25516015198</v>
      </c>
      <c r="G143" s="110">
        <v>6773.6707633671895</v>
      </c>
      <c r="H143" s="110">
        <v>142277.52018042593</v>
      </c>
      <c r="I143" s="126">
        <f t="shared" si="55"/>
        <v>5583999.9982114201</v>
      </c>
    </row>
    <row r="144" spans="1:9" ht="15.75">
      <c r="A144" s="193"/>
      <c r="B144" s="194" t="s">
        <v>13</v>
      </c>
      <c r="C144" s="195"/>
      <c r="D144" s="102" t="s">
        <v>9</v>
      </c>
      <c r="I144" s="126">
        <f t="shared" si="55"/>
        <v>0</v>
      </c>
    </row>
    <row r="145" spans="1:9" ht="15.75">
      <c r="A145" s="193"/>
      <c r="B145" s="157" t="s">
        <v>14</v>
      </c>
      <c r="C145" s="157"/>
      <c r="D145" s="157"/>
      <c r="E145" s="115">
        <f t="shared" ref="E145:H145" si="56">SUM(E138:E144)</f>
        <v>14620253.169020338</v>
      </c>
      <c r="F145" s="115">
        <f t="shared" si="56"/>
        <v>2444370.9443972516</v>
      </c>
      <c r="G145" s="115">
        <f t="shared" si="56"/>
        <v>30863.169004084026</v>
      </c>
      <c r="H145" s="115">
        <f t="shared" si="56"/>
        <v>741512.70769954834</v>
      </c>
      <c r="I145" s="128">
        <f t="shared" ref="I145" si="57">SUM(I138:I144)</f>
        <v>17836999.990121223</v>
      </c>
    </row>
    <row r="146" spans="1:9" ht="15.75">
      <c r="A146" s="161" t="s">
        <v>196</v>
      </c>
      <c r="B146" s="164" t="s">
        <v>15</v>
      </c>
      <c r="C146" s="164"/>
      <c r="D146" s="12" t="s">
        <v>16</v>
      </c>
      <c r="E146" s="110">
        <f>3907872+107098</f>
        <v>4014970</v>
      </c>
      <c r="F146" s="110">
        <f>20628+437946</f>
        <v>458574</v>
      </c>
      <c r="G146" s="110">
        <f>256+5416</f>
        <v>5672</v>
      </c>
      <c r="H146" s="110">
        <f>7018+113766</f>
        <v>120784</v>
      </c>
      <c r="I146" s="126">
        <f t="shared" ref="I146:I153" si="58">SUM(E146:H146)</f>
        <v>4600000</v>
      </c>
    </row>
    <row r="147" spans="1:9" ht="15.75">
      <c r="A147" s="162"/>
      <c r="B147" s="233" t="s">
        <v>353</v>
      </c>
      <c r="C147" s="175"/>
      <c r="D147" s="12">
        <v>404.1</v>
      </c>
      <c r="I147" s="126">
        <f t="shared" si="58"/>
        <v>0</v>
      </c>
    </row>
    <row r="148" spans="1:9" ht="15.75">
      <c r="A148" s="162"/>
      <c r="B148" s="233" t="s">
        <v>212</v>
      </c>
      <c r="C148" s="175"/>
      <c r="D148" s="12">
        <v>404.2</v>
      </c>
      <c r="I148" s="126">
        <f t="shared" si="58"/>
        <v>0</v>
      </c>
    </row>
    <row r="149" spans="1:9" ht="15.75">
      <c r="A149" s="162"/>
      <c r="B149" s="233" t="s">
        <v>213</v>
      </c>
      <c r="C149" s="175"/>
      <c r="D149" s="12">
        <v>404.3</v>
      </c>
      <c r="I149" s="126">
        <f t="shared" si="58"/>
        <v>0</v>
      </c>
    </row>
    <row r="150" spans="1:9" ht="15.75">
      <c r="A150" s="162"/>
      <c r="B150" s="233" t="s">
        <v>214</v>
      </c>
      <c r="C150" s="175"/>
      <c r="D150" s="12">
        <v>405</v>
      </c>
      <c r="I150" s="126">
        <f t="shared" si="58"/>
        <v>0</v>
      </c>
    </row>
    <row r="151" spans="1:9" ht="15.75">
      <c r="A151" s="162"/>
      <c r="B151" s="233" t="s">
        <v>215</v>
      </c>
      <c r="C151" s="175"/>
      <c r="D151" s="12">
        <v>406</v>
      </c>
      <c r="I151" s="126">
        <f t="shared" si="58"/>
        <v>0</v>
      </c>
    </row>
    <row r="152" spans="1:9" ht="15.75">
      <c r="A152" s="162"/>
      <c r="B152" s="233" t="s">
        <v>145</v>
      </c>
      <c r="C152" s="175"/>
      <c r="D152" s="15">
        <v>407.1</v>
      </c>
      <c r="I152" s="126">
        <f t="shared" si="58"/>
        <v>0</v>
      </c>
    </row>
    <row r="153" spans="1:9" ht="15.75">
      <c r="A153" s="162"/>
      <c r="B153" s="233" t="s">
        <v>216</v>
      </c>
      <c r="C153" s="175"/>
      <c r="D153" s="15">
        <v>407.2</v>
      </c>
      <c r="I153" s="126">
        <f t="shared" si="58"/>
        <v>0</v>
      </c>
    </row>
    <row r="154" spans="1:9" ht="15.75">
      <c r="A154" s="234"/>
      <c r="B154" s="157" t="s">
        <v>17</v>
      </c>
      <c r="C154" s="157"/>
      <c r="D154" s="157"/>
      <c r="E154" s="115">
        <f t="shared" ref="E154:H154" si="59">SUM(E146:E153)</f>
        <v>4014970</v>
      </c>
      <c r="F154" s="115">
        <f t="shared" si="59"/>
        <v>458574</v>
      </c>
      <c r="G154" s="115">
        <f t="shared" si="59"/>
        <v>5672</v>
      </c>
      <c r="H154" s="115">
        <f t="shared" si="59"/>
        <v>120784</v>
      </c>
      <c r="I154" s="128">
        <f t="shared" ref="I154" si="60">SUM(I146:I153)</f>
        <v>4600000</v>
      </c>
    </row>
    <row r="155" spans="1:9" ht="15.75">
      <c r="A155" s="161" t="s">
        <v>18</v>
      </c>
      <c r="B155" s="30" t="s">
        <v>18</v>
      </c>
      <c r="C155" s="11" t="s">
        <v>19</v>
      </c>
      <c r="D155" s="15" t="s">
        <v>20</v>
      </c>
      <c r="E155" s="110">
        <f>2632000-474371</f>
        <v>2157629</v>
      </c>
      <c r="F155" s="110">
        <v>-53162</v>
      </c>
      <c r="G155" s="110">
        <v>-657</v>
      </c>
      <c r="H155" s="110">
        <v>-13810</v>
      </c>
      <c r="I155" s="126">
        <f t="shared" ref="I155" si="61">SUM(E155:H155)</f>
        <v>2090000</v>
      </c>
    </row>
    <row r="156" spans="1:9" ht="15.75">
      <c r="A156" s="234"/>
      <c r="B156" s="165" t="s">
        <v>21</v>
      </c>
      <c r="C156" s="157"/>
      <c r="D156" s="157"/>
      <c r="E156" s="115">
        <f t="shared" ref="E156:H156" si="62">E155</f>
        <v>2157629</v>
      </c>
      <c r="F156" s="115">
        <f t="shared" si="62"/>
        <v>-53162</v>
      </c>
      <c r="G156" s="115">
        <f t="shared" si="62"/>
        <v>-657</v>
      </c>
      <c r="H156" s="115">
        <f t="shared" si="62"/>
        <v>-13810</v>
      </c>
      <c r="I156" s="128">
        <f t="shared" ref="I156" si="63">I155</f>
        <v>2090000</v>
      </c>
    </row>
    <row r="157" spans="1:9" ht="15.75">
      <c r="A157" s="161" t="s">
        <v>22</v>
      </c>
      <c r="B157" s="175" t="s">
        <v>23</v>
      </c>
      <c r="C157" s="176"/>
      <c r="D157" s="15">
        <v>408.1</v>
      </c>
      <c r="E157" s="110">
        <v>6186443.2325028311</v>
      </c>
      <c r="F157" s="110">
        <v>1384189.2580809668</v>
      </c>
      <c r="G157" s="110">
        <v>16949.82495168168</v>
      </c>
      <c r="H157" s="110">
        <v>341417.6816378748</v>
      </c>
      <c r="I157" s="126">
        <f t="shared" ref="I157:I161" si="64">SUM(E157:H157)</f>
        <v>7928999.997173354</v>
      </c>
    </row>
    <row r="158" spans="1:9" ht="15.75">
      <c r="A158" s="162"/>
      <c r="B158" s="175" t="s">
        <v>217</v>
      </c>
      <c r="C158" s="176"/>
      <c r="D158" s="15">
        <v>409.1</v>
      </c>
      <c r="E158" s="110">
        <f>516154-E160-E161+982</f>
        <v>410636.91038557695</v>
      </c>
      <c r="F158" s="110">
        <f>1198655-F160-F161+18</f>
        <v>951352.34556987602</v>
      </c>
      <c r="G158" s="110">
        <f>12038-G160-G161-1</f>
        <v>9553.2558542718707</v>
      </c>
      <c r="H158" s="110">
        <f>105153-H160-H161+1</f>
        <v>83457.487204507343</v>
      </c>
      <c r="I158" s="126">
        <f t="shared" si="64"/>
        <v>1454999.9990142323</v>
      </c>
    </row>
    <row r="159" spans="1:9" ht="15.75">
      <c r="A159" s="162"/>
      <c r="B159" s="175" t="s">
        <v>218</v>
      </c>
      <c r="C159" s="176"/>
      <c r="D159" s="15">
        <v>409.1</v>
      </c>
      <c r="I159" s="126">
        <f t="shared" si="64"/>
        <v>0</v>
      </c>
    </row>
    <row r="160" spans="1:9" ht="15.75">
      <c r="A160" s="162"/>
      <c r="B160" s="175" t="s">
        <v>24</v>
      </c>
      <c r="C160" s="176"/>
      <c r="D160" s="15" t="s">
        <v>25</v>
      </c>
      <c r="E160" s="110">
        <v>110725.24396420174</v>
      </c>
      <c r="F160" s="110">
        <v>257134.96611385903</v>
      </c>
      <c r="G160" s="110">
        <v>2582.3054213522614</v>
      </c>
      <c r="H160" s="110">
        <v>22557.485525472523</v>
      </c>
      <c r="I160" s="126">
        <f t="shared" si="64"/>
        <v>393000.00102488551</v>
      </c>
    </row>
    <row r="161" spans="1:9" ht="15.75">
      <c r="A161" s="162"/>
      <c r="B161" s="175" t="s">
        <v>219</v>
      </c>
      <c r="C161" s="176"/>
      <c r="D161" s="15">
        <v>411.4</v>
      </c>
      <c r="E161" s="110">
        <v>-4226.1543497786924</v>
      </c>
      <c r="F161" s="110">
        <v>-9814.3116837350772</v>
      </c>
      <c r="G161" s="110">
        <v>-98.561275624132122</v>
      </c>
      <c r="H161" s="110">
        <v>-860.97272997986727</v>
      </c>
      <c r="I161" s="126">
        <f t="shared" si="64"/>
        <v>-15000.000039117769</v>
      </c>
    </row>
    <row r="162" spans="1:9" ht="15.75">
      <c r="A162" s="163"/>
      <c r="B162" s="177" t="s">
        <v>26</v>
      </c>
      <c r="C162" s="177"/>
      <c r="D162" s="178"/>
      <c r="E162" s="115">
        <f t="shared" ref="E162:H162" si="65">SUM(E157:E161)</f>
        <v>6703579.2325028311</v>
      </c>
      <c r="F162" s="115">
        <f t="shared" si="65"/>
        <v>2582862.2580809668</v>
      </c>
      <c r="G162" s="115">
        <f t="shared" si="65"/>
        <v>28986.82495168168</v>
      </c>
      <c r="H162" s="115">
        <f t="shared" si="65"/>
        <v>446571.6816378748</v>
      </c>
      <c r="I162" s="128">
        <f t="shared" ref="I162" si="66">SUM(I157:I161)</f>
        <v>9761999.997173354</v>
      </c>
    </row>
    <row r="163" spans="1:9" ht="47.25">
      <c r="A163" s="161" t="s">
        <v>95</v>
      </c>
      <c r="B163" s="235" t="s">
        <v>95</v>
      </c>
      <c r="C163" s="235"/>
      <c r="D163" s="5" t="s">
        <v>27</v>
      </c>
      <c r="I163" s="126">
        <f t="shared" ref="I163" si="67">SUM(E163:H163)</f>
        <v>0</v>
      </c>
    </row>
    <row r="164" spans="1:9" ht="15.75">
      <c r="A164" s="163"/>
      <c r="B164" s="236" t="s">
        <v>28</v>
      </c>
      <c r="C164" s="177"/>
      <c r="D164" s="178"/>
      <c r="E164" s="115">
        <f t="shared" ref="E164:H164" si="68">E163</f>
        <v>0</v>
      </c>
      <c r="F164" s="115">
        <f t="shared" si="68"/>
        <v>0</v>
      </c>
      <c r="G164" s="115">
        <f t="shared" si="68"/>
        <v>0</v>
      </c>
      <c r="H164" s="115">
        <f t="shared" si="68"/>
        <v>0</v>
      </c>
      <c r="I164" s="128">
        <f t="shared" ref="I164" si="69">I163</f>
        <v>0</v>
      </c>
    </row>
    <row r="165" spans="1:9" ht="15.75">
      <c r="A165" s="161" t="s">
        <v>96</v>
      </c>
      <c r="B165" s="235" t="s">
        <v>146</v>
      </c>
      <c r="C165" s="235"/>
      <c r="D165" s="5">
        <v>421</v>
      </c>
      <c r="I165" s="126">
        <f t="shared" ref="I165" si="70">SUM(E165:H165)</f>
        <v>0</v>
      </c>
    </row>
    <row r="166" spans="1:9" ht="15.75">
      <c r="A166" s="163"/>
      <c r="B166" s="236" t="s">
        <v>147</v>
      </c>
      <c r="C166" s="177"/>
      <c r="D166" s="178"/>
      <c r="E166" s="115">
        <f t="shared" ref="E166:H166" si="71">E165</f>
        <v>0</v>
      </c>
      <c r="F166" s="115">
        <f t="shared" si="71"/>
        <v>0</v>
      </c>
      <c r="G166" s="115">
        <f t="shared" si="71"/>
        <v>0</v>
      </c>
      <c r="H166" s="115">
        <f t="shared" si="71"/>
        <v>0</v>
      </c>
      <c r="I166" s="128">
        <f t="shared" ref="I166" si="72">I165</f>
        <v>0</v>
      </c>
    </row>
    <row r="167" spans="1:9" ht="15.75">
      <c r="A167" s="179" t="s">
        <v>307</v>
      </c>
      <c r="B167" s="179"/>
      <c r="C167" s="179"/>
      <c r="D167" s="180"/>
      <c r="E167" s="113">
        <f ca="1">E137+E145+E154+E156+E162+E164+E166</f>
        <v>61755249.907934085</v>
      </c>
      <c r="F167" s="113">
        <f t="shared" ref="F167:I167" ca="1" si="73">F137+F145+F154+F156+F162+F164+F166</f>
        <v>9625327.8426223416</v>
      </c>
      <c r="G167" s="113">
        <f t="shared" ca="1" si="73"/>
        <v>118630.99417925059</v>
      </c>
      <c r="H167" s="113">
        <f t="shared" ca="1" si="73"/>
        <v>2305791.2697006138</v>
      </c>
      <c r="I167" s="113">
        <f t="shared" ca="1" si="73"/>
        <v>73805000.014436275</v>
      </c>
    </row>
    <row r="168" spans="1:9" ht="15.75">
      <c r="A168" s="181" t="s">
        <v>354</v>
      </c>
      <c r="B168" s="182"/>
      <c r="C168" s="182"/>
      <c r="D168" s="183"/>
      <c r="E168" s="113">
        <f t="shared" ref="E168:I168" ca="1" si="74">E16-E167</f>
        <v>11068338.092065915</v>
      </c>
      <c r="F168" s="113">
        <f t="shared" ca="1" si="74"/>
        <v>8053010.1573776584</v>
      </c>
      <c r="G168" s="113">
        <f t="shared" ca="1" si="74"/>
        <v>85348.005820749415</v>
      </c>
      <c r="H168" s="113">
        <f t="shared" ca="1" si="74"/>
        <v>1028303.7302993862</v>
      </c>
      <c r="I168" s="113">
        <f t="shared" ca="1" si="74"/>
        <v>20234999.985563725</v>
      </c>
    </row>
    <row r="169" spans="1:9" ht="15.75">
      <c r="A169" s="62"/>
      <c r="B169" s="16"/>
      <c r="C169" s="17"/>
      <c r="D169" s="18"/>
      <c r="I169" s="126">
        <f t="shared" ref="I169:I173" si="75">SUM(E169:H169)</f>
        <v>0</v>
      </c>
    </row>
    <row r="170" spans="1:9" ht="15.75">
      <c r="A170" s="13"/>
      <c r="B170" s="16"/>
      <c r="C170" s="19"/>
      <c r="D170" s="18"/>
      <c r="I170" s="126">
        <f t="shared" si="75"/>
        <v>0</v>
      </c>
    </row>
    <row r="171" spans="1:9" ht="15.75">
      <c r="A171" s="161" t="s">
        <v>148</v>
      </c>
      <c r="B171" s="161" t="s">
        <v>15</v>
      </c>
      <c r="C171" s="103" t="s">
        <v>309</v>
      </c>
      <c r="D171" s="12">
        <v>301</v>
      </c>
      <c r="I171" s="126">
        <f t="shared" si="75"/>
        <v>0</v>
      </c>
    </row>
    <row r="172" spans="1:9" ht="15.75">
      <c r="A172" s="162"/>
      <c r="B172" s="162"/>
      <c r="C172" s="104" t="s">
        <v>310</v>
      </c>
      <c r="D172" s="12">
        <v>302</v>
      </c>
      <c r="I172" s="126">
        <f t="shared" si="75"/>
        <v>0</v>
      </c>
    </row>
    <row r="173" spans="1:9" ht="15.75">
      <c r="A173" s="162"/>
      <c r="B173" s="162"/>
      <c r="C173" s="96" t="s">
        <v>311</v>
      </c>
      <c r="D173" s="12">
        <v>303</v>
      </c>
      <c r="E173" s="110">
        <v>28799770.71948481</v>
      </c>
      <c r="F173" s="110">
        <v>3384134.3689235556</v>
      </c>
      <c r="G173" s="110">
        <v>41868.28826245026</v>
      </c>
      <c r="H173" s="110">
        <v>909226.61173988483</v>
      </c>
      <c r="I173" s="126">
        <f t="shared" si="75"/>
        <v>33134999.9884107</v>
      </c>
    </row>
    <row r="174" spans="1:9" ht="15.75">
      <c r="A174" s="162"/>
      <c r="B174" s="162"/>
      <c r="C174" s="184" t="s">
        <v>355</v>
      </c>
      <c r="D174" s="185"/>
      <c r="E174" s="118">
        <f t="shared" ref="E174:H174" si="76">SUM(E171:E173)</f>
        <v>28799770.71948481</v>
      </c>
      <c r="F174" s="118">
        <f t="shared" si="76"/>
        <v>3384134.3689235556</v>
      </c>
      <c r="G174" s="118">
        <f t="shared" si="76"/>
        <v>41868.28826245026</v>
      </c>
      <c r="H174" s="118">
        <f t="shared" si="76"/>
        <v>909226.61173988483</v>
      </c>
      <c r="I174" s="129">
        <f t="shared" ref="I174" si="77">SUM(I171:I173)</f>
        <v>33134999.9884107</v>
      </c>
    </row>
    <row r="175" spans="1:9" ht="15.75" customHeight="1">
      <c r="A175" s="162"/>
      <c r="B175" s="161" t="s">
        <v>150</v>
      </c>
      <c r="C175" s="104" t="s">
        <v>312</v>
      </c>
      <c r="D175" s="117"/>
      <c r="E175" s="110">
        <v>618348.3523312842</v>
      </c>
      <c r="F175" s="110">
        <v>267907.57889490377</v>
      </c>
      <c r="G175" s="110">
        <v>4723.2902836136718</v>
      </c>
      <c r="H175" s="110">
        <v>19020.778490198369</v>
      </c>
      <c r="I175" s="126">
        <f t="shared" ref="I175:I186" si="78">SUM(E175:H175)</f>
        <v>910000</v>
      </c>
    </row>
    <row r="176" spans="1:9" ht="15.75">
      <c r="A176" s="162"/>
      <c r="B176" s="162"/>
      <c r="C176" s="104" t="s">
        <v>313</v>
      </c>
      <c r="D176" s="117">
        <v>350.1</v>
      </c>
      <c r="I176" s="126">
        <f t="shared" si="78"/>
        <v>0</v>
      </c>
    </row>
    <row r="177" spans="1:9" ht="15.75">
      <c r="A177" s="162"/>
      <c r="B177" s="162"/>
      <c r="C177" s="104" t="s">
        <v>314</v>
      </c>
      <c r="D177" s="119">
        <v>350.2</v>
      </c>
      <c r="E177" s="110">
        <v>1274748.9109598782</v>
      </c>
      <c r="F177" s="110">
        <v>552301.77802949387</v>
      </c>
      <c r="G177" s="110">
        <v>9737.2445846804931</v>
      </c>
      <c r="H177" s="110">
        <v>39212.0664259474</v>
      </c>
      <c r="I177" s="126">
        <f t="shared" si="78"/>
        <v>1876000</v>
      </c>
    </row>
    <row r="178" spans="1:9" ht="15.75">
      <c r="A178" s="162"/>
      <c r="B178" s="162"/>
      <c r="C178" s="104" t="s">
        <v>315</v>
      </c>
      <c r="D178" s="117">
        <v>351</v>
      </c>
      <c r="E178" s="110">
        <v>9116221.4229412191</v>
      </c>
      <c r="F178" s="110">
        <v>3949723.1631362955</v>
      </c>
      <c r="G178" s="110">
        <v>69634.793895561568</v>
      </c>
      <c r="H178" s="110">
        <v>280420.62002692447</v>
      </c>
      <c r="I178" s="126">
        <f t="shared" si="78"/>
        <v>13416000</v>
      </c>
    </row>
    <row r="179" spans="1:9" ht="15.75">
      <c r="A179" s="162"/>
      <c r="B179" s="162"/>
      <c r="C179" s="104" t="s">
        <v>316</v>
      </c>
      <c r="D179" s="117">
        <v>352</v>
      </c>
      <c r="I179" s="126">
        <f t="shared" si="78"/>
        <v>0</v>
      </c>
    </row>
    <row r="180" spans="1:9" ht="15.75">
      <c r="A180" s="162"/>
      <c r="B180" s="162"/>
      <c r="C180" s="104" t="s">
        <v>317</v>
      </c>
      <c r="D180" s="119">
        <v>352.1</v>
      </c>
      <c r="I180" s="126">
        <f t="shared" si="78"/>
        <v>0</v>
      </c>
    </row>
    <row r="181" spans="1:9" ht="15.75">
      <c r="A181" s="162"/>
      <c r="B181" s="162"/>
      <c r="C181" s="104" t="s">
        <v>318</v>
      </c>
      <c r="D181" s="119">
        <v>352.2</v>
      </c>
      <c r="I181" s="126">
        <f t="shared" si="78"/>
        <v>0</v>
      </c>
    </row>
    <row r="182" spans="1:9" ht="15.75" customHeight="1">
      <c r="A182" s="162"/>
      <c r="B182" s="162"/>
      <c r="C182" s="104" t="s">
        <v>319</v>
      </c>
      <c r="D182" s="119">
        <v>352.3</v>
      </c>
      <c r="E182" s="110">
        <v>490601.65976174414</v>
      </c>
      <c r="F182" s="110">
        <v>212559.63951881375</v>
      </c>
      <c r="G182" s="110">
        <v>3747.4896535923858</v>
      </c>
      <c r="H182" s="110">
        <v>15091.211065849693</v>
      </c>
      <c r="I182" s="126">
        <f t="shared" si="78"/>
        <v>721999.99999999988</v>
      </c>
    </row>
    <row r="183" spans="1:9" ht="15.75">
      <c r="A183" s="162"/>
      <c r="B183" s="162"/>
      <c r="C183" s="104" t="s">
        <v>320</v>
      </c>
      <c r="D183" s="117">
        <v>353</v>
      </c>
      <c r="E183" s="110">
        <v>6028556.6833880804</v>
      </c>
      <c r="F183" s="110">
        <v>2611951.6922588861</v>
      </c>
      <c r="G183" s="110">
        <v>46049.485050791758</v>
      </c>
      <c r="H183" s="110">
        <v>185442.13930224167</v>
      </c>
      <c r="I183" s="126">
        <f t="shared" si="78"/>
        <v>8872000.0000000019</v>
      </c>
    </row>
    <row r="184" spans="1:9" ht="15.75">
      <c r="A184" s="162"/>
      <c r="B184" s="162"/>
      <c r="C184" s="104" t="s">
        <v>321</v>
      </c>
      <c r="D184" s="117">
        <v>354</v>
      </c>
      <c r="E184" s="110">
        <v>708722.34228739492</v>
      </c>
      <c r="F184" s="110">
        <v>307063.30196415895</v>
      </c>
      <c r="G184" s="110">
        <v>5413.6173250649008</v>
      </c>
      <c r="H184" s="110">
        <v>21800.738423381204</v>
      </c>
      <c r="I184" s="126">
        <f t="shared" si="78"/>
        <v>1043000</v>
      </c>
    </row>
    <row r="185" spans="1:9" ht="15.75">
      <c r="A185" s="162"/>
      <c r="B185" s="162"/>
      <c r="C185" s="104" t="s">
        <v>322</v>
      </c>
      <c r="D185" s="117">
        <v>355</v>
      </c>
      <c r="E185" s="110">
        <v>189581.52780266845</v>
      </c>
      <c r="F185" s="110">
        <v>82138.697265580384</v>
      </c>
      <c r="G185" s="110">
        <v>1448.1296583826534</v>
      </c>
      <c r="H185" s="110">
        <v>5831.6452733685101</v>
      </c>
      <c r="I185" s="126">
        <f t="shared" si="78"/>
        <v>279000</v>
      </c>
    </row>
    <row r="186" spans="1:9" ht="15.75">
      <c r="A186" s="162"/>
      <c r="B186" s="162"/>
      <c r="C186" s="104" t="s">
        <v>323</v>
      </c>
      <c r="D186" s="117">
        <v>356</v>
      </c>
      <c r="E186" s="110">
        <v>1307365.0877861436</v>
      </c>
      <c r="F186" s="110">
        <v>566433.16680636792</v>
      </c>
      <c r="G186" s="110">
        <v>9986.3851710689069</v>
      </c>
      <c r="H186" s="110">
        <v>40215.360236419401</v>
      </c>
      <c r="I186" s="126">
        <f t="shared" si="78"/>
        <v>1923999.9999999998</v>
      </c>
    </row>
    <row r="187" spans="1:9" ht="15.75">
      <c r="A187" s="162"/>
      <c r="B187" s="163"/>
      <c r="C187" s="184" t="s">
        <v>151</v>
      </c>
      <c r="D187" s="185"/>
      <c r="E187" s="118">
        <f t="shared" ref="E187:H187" si="79">SUM(E175:E186)</f>
        <v>19734145.987258412</v>
      </c>
      <c r="F187" s="118">
        <f t="shared" si="79"/>
        <v>8550079.0178744998</v>
      </c>
      <c r="G187" s="118">
        <f t="shared" si="79"/>
        <v>150740.43562275637</v>
      </c>
      <c r="H187" s="118">
        <f t="shared" si="79"/>
        <v>607034.55924433062</v>
      </c>
      <c r="I187" s="129">
        <f t="shared" ref="I187" si="80">SUM(I175:I186)</f>
        <v>29042000</v>
      </c>
    </row>
    <row r="188" spans="1:9" ht="15.75">
      <c r="A188" s="162"/>
      <c r="B188" s="161" t="s">
        <v>98</v>
      </c>
      <c r="C188" s="9" t="s">
        <v>324</v>
      </c>
      <c r="D188" s="15">
        <v>365.1</v>
      </c>
      <c r="I188" s="126">
        <f t="shared" ref="I188:I195" si="81">SUM(E188:H188)</f>
        <v>0</v>
      </c>
    </row>
    <row r="189" spans="1:9" ht="15.75">
      <c r="A189" s="162"/>
      <c r="B189" s="162"/>
      <c r="C189" s="9" t="s">
        <v>313</v>
      </c>
      <c r="D189" s="15">
        <v>365.2</v>
      </c>
      <c r="I189" s="126">
        <f t="shared" si="81"/>
        <v>0</v>
      </c>
    </row>
    <row r="190" spans="1:9" ht="15.75">
      <c r="A190" s="162"/>
      <c r="B190" s="162"/>
      <c r="C190" s="9" t="s">
        <v>314</v>
      </c>
      <c r="D190" s="12">
        <v>366</v>
      </c>
      <c r="I190" s="126">
        <f t="shared" si="81"/>
        <v>0</v>
      </c>
    </row>
    <row r="191" spans="1:9" ht="15.75">
      <c r="A191" s="162"/>
      <c r="B191" s="162"/>
      <c r="C191" s="9" t="s">
        <v>325</v>
      </c>
      <c r="D191" s="12">
        <v>367</v>
      </c>
      <c r="I191" s="126">
        <f t="shared" si="81"/>
        <v>0</v>
      </c>
    </row>
    <row r="192" spans="1:9" ht="15.75">
      <c r="A192" s="162"/>
      <c r="B192" s="162"/>
      <c r="C192" s="9" t="s">
        <v>320</v>
      </c>
      <c r="D192" s="12">
        <v>368</v>
      </c>
      <c r="I192" s="126">
        <f t="shared" si="81"/>
        <v>0</v>
      </c>
    </row>
    <row r="193" spans="1:9" ht="31.5">
      <c r="A193" s="162"/>
      <c r="B193" s="162"/>
      <c r="C193" s="9" t="s">
        <v>326</v>
      </c>
      <c r="D193" s="12">
        <v>369</v>
      </c>
      <c r="I193" s="126">
        <f t="shared" si="81"/>
        <v>0</v>
      </c>
    </row>
    <row r="194" spans="1:9" ht="15.75">
      <c r="A194" s="162"/>
      <c r="B194" s="162"/>
      <c r="C194" s="9" t="s">
        <v>327</v>
      </c>
      <c r="D194" s="12">
        <v>370</v>
      </c>
      <c r="I194" s="126">
        <f t="shared" si="81"/>
        <v>0</v>
      </c>
    </row>
    <row r="195" spans="1:9" ht="15.75">
      <c r="A195" s="162"/>
      <c r="B195" s="162"/>
      <c r="C195" s="9" t="s">
        <v>323</v>
      </c>
      <c r="D195" s="12">
        <v>371</v>
      </c>
      <c r="I195" s="126">
        <f t="shared" si="81"/>
        <v>0</v>
      </c>
    </row>
    <row r="196" spans="1:9" ht="15.75">
      <c r="A196" s="162"/>
      <c r="B196" s="163"/>
      <c r="C196" s="186" t="s">
        <v>328</v>
      </c>
      <c r="D196" s="186"/>
      <c r="E196" s="118">
        <f t="shared" ref="E196:H196" si="82">SUM(E188:E195)</f>
        <v>0</v>
      </c>
      <c r="F196" s="118">
        <f t="shared" si="82"/>
        <v>0</v>
      </c>
      <c r="G196" s="118">
        <f t="shared" si="82"/>
        <v>0</v>
      </c>
      <c r="H196" s="118">
        <f t="shared" si="82"/>
        <v>0</v>
      </c>
      <c r="I196" s="129">
        <f t="shared" ref="I196" si="83">SUM(I188:I195)</f>
        <v>0</v>
      </c>
    </row>
    <row r="197" spans="1:9" ht="15.75">
      <c r="A197" s="162"/>
      <c r="B197" s="161" t="s">
        <v>153</v>
      </c>
      <c r="C197" s="9" t="s">
        <v>324</v>
      </c>
      <c r="D197" s="100">
        <v>374</v>
      </c>
      <c r="E197" s="110">
        <v>305427.19681866956</v>
      </c>
      <c r="F197" s="110">
        <v>58828.867633188303</v>
      </c>
      <c r="G197" s="110">
        <v>729.95504600995457</v>
      </c>
      <c r="H197" s="110">
        <v>20013.980225503034</v>
      </c>
      <c r="I197" s="126">
        <f t="shared" ref="I197:I210" si="84">SUM(E197:H197)</f>
        <v>384999.99972337089</v>
      </c>
    </row>
    <row r="198" spans="1:9" ht="15.75">
      <c r="A198" s="162"/>
      <c r="B198" s="162"/>
      <c r="C198" s="9" t="s">
        <v>314</v>
      </c>
      <c r="D198" s="100">
        <v>375</v>
      </c>
      <c r="E198" s="110">
        <v>654486.8503257205</v>
      </c>
      <c r="F198" s="110">
        <v>126061.85921397494</v>
      </c>
      <c r="G198" s="110">
        <v>1564.1893843070454</v>
      </c>
      <c r="H198" s="110">
        <v>42887.100483220784</v>
      </c>
      <c r="I198" s="126">
        <f t="shared" si="84"/>
        <v>824999.99940722319</v>
      </c>
    </row>
    <row r="199" spans="1:9" ht="15.75">
      <c r="A199" s="162"/>
      <c r="B199" s="162"/>
      <c r="C199" s="9" t="s">
        <v>325</v>
      </c>
      <c r="D199" s="100">
        <v>376</v>
      </c>
      <c r="E199" s="110">
        <v>162911121.07298735</v>
      </c>
      <c r="F199" s="110">
        <v>62413589.769634448</v>
      </c>
      <c r="G199" s="110">
        <v>799220.32269248262</v>
      </c>
      <c r="H199" s="110">
        <v>23230068.834685657</v>
      </c>
      <c r="I199" s="126">
        <f t="shared" si="84"/>
        <v>249353999.99999994</v>
      </c>
    </row>
    <row r="200" spans="1:9" ht="15.75">
      <c r="A200" s="162"/>
      <c r="B200" s="162"/>
      <c r="C200" s="9" t="s">
        <v>320</v>
      </c>
      <c r="D200" s="100">
        <v>377</v>
      </c>
      <c r="I200" s="126">
        <f t="shared" si="84"/>
        <v>0</v>
      </c>
    </row>
    <row r="201" spans="1:9" ht="31.5">
      <c r="A201" s="162"/>
      <c r="B201" s="162"/>
      <c r="C201" s="9" t="s">
        <v>329</v>
      </c>
      <c r="D201" s="100">
        <v>378</v>
      </c>
      <c r="E201" s="110">
        <v>2616985.0855795927</v>
      </c>
      <c r="F201" s="110">
        <v>998528.52016581025</v>
      </c>
      <c r="G201" s="110">
        <v>16373.913415637195</v>
      </c>
      <c r="H201" s="110">
        <v>498112.48083895876</v>
      </c>
      <c r="I201" s="126">
        <f t="shared" si="84"/>
        <v>4129999.9999999991</v>
      </c>
    </row>
    <row r="202" spans="1:9" ht="31.5">
      <c r="A202" s="162"/>
      <c r="B202" s="162"/>
      <c r="C202" s="9" t="s">
        <v>330</v>
      </c>
      <c r="D202" s="100">
        <v>379</v>
      </c>
      <c r="E202" s="110">
        <v>1238157.1082863254</v>
      </c>
      <c r="F202" s="110">
        <v>472427.29501307342</v>
      </c>
      <c r="G202" s="110">
        <v>7746.8830058486874</v>
      </c>
      <c r="H202" s="110">
        <v>235668.7136947519</v>
      </c>
      <c r="I202" s="126">
        <f t="shared" si="84"/>
        <v>1953999.9999999993</v>
      </c>
    </row>
    <row r="203" spans="1:9" ht="15.75">
      <c r="A203" s="162"/>
      <c r="B203" s="162"/>
      <c r="C203" s="9" t="s">
        <v>331</v>
      </c>
      <c r="D203" s="100">
        <v>380</v>
      </c>
      <c r="E203" s="110">
        <v>181185028.60661563</v>
      </c>
      <c r="F203" s="110">
        <v>3441357.8787983274</v>
      </c>
      <c r="G203" s="110">
        <v>8222.9471280055859</v>
      </c>
      <c r="H203" s="110">
        <v>699390.21295174246</v>
      </c>
      <c r="I203" s="126">
        <f t="shared" si="84"/>
        <v>185333999.64549372</v>
      </c>
    </row>
    <row r="204" spans="1:9" ht="15.75">
      <c r="A204" s="162"/>
      <c r="B204" s="162"/>
      <c r="C204" s="9" t="s">
        <v>332</v>
      </c>
      <c r="D204" s="100">
        <v>381</v>
      </c>
      <c r="E204" s="110">
        <v>43460404.047507979</v>
      </c>
      <c r="F204" s="110">
        <v>5673579.3224863242</v>
      </c>
      <c r="G204" s="110">
        <v>63405.7682914174</v>
      </c>
      <c r="H204" s="110">
        <v>601610.8617142773</v>
      </c>
      <c r="I204" s="126">
        <f t="shared" si="84"/>
        <v>49798999.999999993</v>
      </c>
    </row>
    <row r="205" spans="1:9" ht="15.75">
      <c r="A205" s="162"/>
      <c r="B205" s="162"/>
      <c r="C205" s="9" t="s">
        <v>333</v>
      </c>
      <c r="D205" s="100">
        <v>382</v>
      </c>
      <c r="I205" s="126">
        <f t="shared" si="84"/>
        <v>0</v>
      </c>
    </row>
    <row r="206" spans="1:9" ht="15.75">
      <c r="A206" s="162"/>
      <c r="B206" s="162"/>
      <c r="C206" s="9" t="s">
        <v>334</v>
      </c>
      <c r="D206" s="100">
        <v>383</v>
      </c>
      <c r="I206" s="126">
        <f t="shared" si="84"/>
        <v>0</v>
      </c>
    </row>
    <row r="207" spans="1:9" ht="15.75">
      <c r="A207" s="162"/>
      <c r="B207" s="162"/>
      <c r="C207" s="9" t="s">
        <v>335</v>
      </c>
      <c r="D207" s="100">
        <v>384</v>
      </c>
      <c r="I207" s="126">
        <f t="shared" si="84"/>
        <v>0</v>
      </c>
    </row>
    <row r="208" spans="1:9" ht="31.5">
      <c r="A208" s="162"/>
      <c r="B208" s="162"/>
      <c r="C208" s="9" t="s">
        <v>336</v>
      </c>
      <c r="D208" s="100">
        <v>385</v>
      </c>
      <c r="E208" s="110">
        <v>0</v>
      </c>
      <c r="F208" s="110">
        <v>2391009.9049883708</v>
      </c>
      <c r="G208" s="110">
        <v>40483.672818991625</v>
      </c>
      <c r="H208" s="110">
        <v>383506.42219263688</v>
      </c>
      <c r="I208" s="126">
        <f t="shared" si="84"/>
        <v>2814999.9999999995</v>
      </c>
    </row>
    <row r="209" spans="1:9" ht="15.75">
      <c r="A209" s="162"/>
      <c r="B209" s="162"/>
      <c r="C209" s="9" t="s">
        <v>154</v>
      </c>
      <c r="D209" s="100">
        <v>386</v>
      </c>
      <c r="I209" s="126">
        <f t="shared" si="84"/>
        <v>0</v>
      </c>
    </row>
    <row r="210" spans="1:9" ht="15.75">
      <c r="A210" s="162"/>
      <c r="B210" s="162"/>
      <c r="C210" s="9" t="s">
        <v>323</v>
      </c>
      <c r="D210" s="100">
        <v>387</v>
      </c>
      <c r="I210" s="126">
        <f t="shared" si="84"/>
        <v>0</v>
      </c>
    </row>
    <row r="211" spans="1:9" ht="15.75">
      <c r="A211" s="162"/>
      <c r="B211" s="163"/>
      <c r="C211" s="184" t="s">
        <v>155</v>
      </c>
      <c r="D211" s="186"/>
      <c r="E211" s="118">
        <f t="shared" ref="E211:H211" si="85">SUM(E197:E210)</f>
        <v>392371609.96812129</v>
      </c>
      <c r="F211" s="118">
        <f t="shared" si="85"/>
        <v>75575383.417933524</v>
      </c>
      <c r="G211" s="118">
        <f t="shared" si="85"/>
        <v>937747.65178270009</v>
      </c>
      <c r="H211" s="118">
        <f t="shared" si="85"/>
        <v>25711258.606786747</v>
      </c>
      <c r="I211" s="129">
        <f t="shared" ref="I211" si="86">SUM(I197:I210)</f>
        <v>494595999.64462423</v>
      </c>
    </row>
    <row r="212" spans="1:9" ht="15.75">
      <c r="A212" s="162"/>
      <c r="B212" s="161" t="s">
        <v>156</v>
      </c>
      <c r="C212" s="9" t="s">
        <v>324</v>
      </c>
      <c r="D212" s="100">
        <v>389</v>
      </c>
      <c r="E212" s="110">
        <v>4577417.5264187139</v>
      </c>
      <c r="F212" s="110">
        <v>512980.44313889596</v>
      </c>
      <c r="G212" s="110">
        <v>6344.2510910477076</v>
      </c>
      <c r="H212" s="110">
        <v>133257.77767615108</v>
      </c>
      <c r="I212" s="126">
        <f t="shared" ref="I212:I222" si="87">SUM(E212:H212)</f>
        <v>5229999.9983248087</v>
      </c>
    </row>
    <row r="213" spans="1:9" ht="15.75">
      <c r="A213" s="162"/>
      <c r="B213" s="162"/>
      <c r="C213" s="9" t="s">
        <v>314</v>
      </c>
      <c r="D213" s="100">
        <v>390</v>
      </c>
      <c r="E213" s="110">
        <v>37959306.986291789</v>
      </c>
      <c r="F213" s="110">
        <v>4254010.4778923625</v>
      </c>
      <c r="G213" s="110">
        <v>52611.188158667333</v>
      </c>
      <c r="H213" s="110">
        <v>1105071.3337652672</v>
      </c>
      <c r="I213" s="126">
        <f t="shared" si="87"/>
        <v>43370999.986108087</v>
      </c>
    </row>
    <row r="214" spans="1:9" ht="15.75">
      <c r="A214" s="162"/>
      <c r="B214" s="162"/>
      <c r="C214" s="9" t="s">
        <v>338</v>
      </c>
      <c r="D214" s="100">
        <v>391</v>
      </c>
      <c r="E214" s="110">
        <v>13278886.942796316</v>
      </c>
      <c r="F214" s="110">
        <v>1488133.7061765448</v>
      </c>
      <c r="G214" s="110">
        <v>18404.393413647384</v>
      </c>
      <c r="H214" s="110">
        <v>386574.95275383629</v>
      </c>
      <c r="I214" s="126">
        <f t="shared" si="87"/>
        <v>15171999.995140346</v>
      </c>
    </row>
    <row r="215" spans="1:9" ht="15.75">
      <c r="A215" s="162"/>
      <c r="B215" s="162"/>
      <c r="C215" s="9" t="s">
        <v>339</v>
      </c>
      <c r="D215" s="100">
        <v>392</v>
      </c>
      <c r="E215" s="110">
        <v>12825521.306336489</v>
      </c>
      <c r="F215" s="110">
        <v>1437326.0829364019</v>
      </c>
      <c r="G215" s="110">
        <v>17776.033554151647</v>
      </c>
      <c r="H215" s="110">
        <v>373376.57247921947</v>
      </c>
      <c r="I215" s="126">
        <f t="shared" si="87"/>
        <v>14653999.995306263</v>
      </c>
    </row>
    <row r="216" spans="1:9" ht="15.75">
      <c r="A216" s="162"/>
      <c r="B216" s="162"/>
      <c r="C216" s="9" t="s">
        <v>340</v>
      </c>
      <c r="D216" s="100">
        <v>393</v>
      </c>
      <c r="E216" s="110">
        <v>878724.12935456773</v>
      </c>
      <c r="F216" s="110">
        <v>98476.551608308131</v>
      </c>
      <c r="G216" s="110">
        <v>1217.9021214936708</v>
      </c>
      <c r="H216" s="110">
        <v>25581.416594045062</v>
      </c>
      <c r="I216" s="126">
        <f t="shared" si="87"/>
        <v>1003999.9996784145</v>
      </c>
    </row>
    <row r="217" spans="1:9" ht="15.75">
      <c r="A217" s="162"/>
      <c r="B217" s="162"/>
      <c r="C217" s="9" t="s">
        <v>341</v>
      </c>
      <c r="D217" s="100">
        <v>394</v>
      </c>
      <c r="E217" s="110">
        <v>6552796.3709936738</v>
      </c>
      <c r="F217" s="110">
        <v>734356.51582809072</v>
      </c>
      <c r="G217" s="110">
        <v>9082.1047645648541</v>
      </c>
      <c r="H217" s="110">
        <v>190765.00601555317</v>
      </c>
      <c r="I217" s="126">
        <f t="shared" si="87"/>
        <v>7486999.9976018826</v>
      </c>
    </row>
    <row r="218" spans="1:9" ht="15.75">
      <c r="A218" s="162"/>
      <c r="B218" s="162"/>
      <c r="C218" s="9" t="s">
        <v>342</v>
      </c>
      <c r="D218" s="100">
        <v>395</v>
      </c>
      <c r="E218" s="110">
        <v>364968.08958252461</v>
      </c>
      <c r="F218" s="110">
        <v>40901.117550462644</v>
      </c>
      <c r="G218" s="110">
        <v>505.84181739328761</v>
      </c>
      <c r="H218" s="110">
        <v>10624.950916052579</v>
      </c>
      <c r="I218" s="126">
        <f t="shared" si="87"/>
        <v>416999.99986643309</v>
      </c>
    </row>
    <row r="219" spans="1:9" ht="15.75">
      <c r="A219" s="162"/>
      <c r="B219" s="162"/>
      <c r="C219" s="9" t="s">
        <v>343</v>
      </c>
      <c r="D219" s="100">
        <v>396</v>
      </c>
      <c r="E219" s="110">
        <v>3257580.8859140449</v>
      </c>
      <c r="F219" s="110">
        <v>365069.44729693513</v>
      </c>
      <c r="G219" s="110">
        <v>4514.971808963589</v>
      </c>
      <c r="H219" s="110">
        <v>94834.693787884185</v>
      </c>
      <c r="I219" s="126">
        <f t="shared" si="87"/>
        <v>3721999.9988078275</v>
      </c>
    </row>
    <row r="220" spans="1:9" ht="15.75">
      <c r="A220" s="162"/>
      <c r="B220" s="162"/>
      <c r="C220" s="9" t="s">
        <v>327</v>
      </c>
      <c r="D220" s="100">
        <v>397</v>
      </c>
      <c r="E220" s="110">
        <v>12811517.734553946</v>
      </c>
      <c r="F220" s="110">
        <v>1435756.7355004128</v>
      </c>
      <c r="G220" s="110">
        <v>17756.624755402743</v>
      </c>
      <c r="H220" s="110">
        <v>372968.90050162509</v>
      </c>
      <c r="I220" s="126">
        <f t="shared" si="87"/>
        <v>14637999.995311387</v>
      </c>
    </row>
    <row r="221" spans="1:9" ht="15.75">
      <c r="A221" s="162"/>
      <c r="B221" s="162"/>
      <c r="C221" s="9" t="s">
        <v>344</v>
      </c>
      <c r="D221" s="100">
        <v>398</v>
      </c>
      <c r="E221" s="110">
        <v>74393.975094759211</v>
      </c>
      <c r="F221" s="110">
        <v>8337.1582536914266</v>
      </c>
      <c r="G221" s="110">
        <v>103.10924335354784</v>
      </c>
      <c r="H221" s="110">
        <v>2165.7573809699502</v>
      </c>
      <c r="I221" s="126">
        <f t="shared" si="87"/>
        <v>84999.999972774138</v>
      </c>
    </row>
    <row r="222" spans="1:9" ht="15.75">
      <c r="A222" s="162"/>
      <c r="B222" s="162"/>
      <c r="C222" s="9" t="s">
        <v>345</v>
      </c>
      <c r="D222" s="100">
        <v>399</v>
      </c>
      <c r="I222" s="126">
        <f t="shared" si="87"/>
        <v>0</v>
      </c>
    </row>
    <row r="223" spans="1:9" ht="15.75">
      <c r="A223" s="162"/>
      <c r="B223" s="163"/>
      <c r="C223" s="184" t="s">
        <v>157</v>
      </c>
      <c r="D223" s="186"/>
      <c r="E223" s="118">
        <f t="shared" ref="E223:H223" si="88">SUM(E212:E222)</f>
        <v>92581113.947336823</v>
      </c>
      <c r="F223" s="118">
        <f t="shared" si="88"/>
        <v>10375348.236182107</v>
      </c>
      <c r="G223" s="118">
        <f t="shared" si="88"/>
        <v>128316.42072868576</v>
      </c>
      <c r="H223" s="118">
        <f t="shared" si="88"/>
        <v>2695221.3618706041</v>
      </c>
      <c r="I223" s="129">
        <f t="shared" ref="I223" si="89">SUM(I212:I222)</f>
        <v>105779999.96611823</v>
      </c>
    </row>
    <row r="224" spans="1:9" ht="15.75">
      <c r="A224" s="163"/>
      <c r="B224" s="187" t="s">
        <v>158</v>
      </c>
      <c r="C224" s="188"/>
      <c r="D224" s="189"/>
      <c r="E224" s="120">
        <f t="shared" ref="E224:H224" si="90">E174+E187+E196+E211+E223</f>
        <v>533486640.62220132</v>
      </c>
      <c r="F224" s="120">
        <f t="shared" si="90"/>
        <v>97884945.040913686</v>
      </c>
      <c r="G224" s="120">
        <f t="shared" si="90"/>
        <v>1258672.7963965926</v>
      </c>
      <c r="H224" s="120">
        <f t="shared" si="90"/>
        <v>29922741.139641568</v>
      </c>
      <c r="I224" s="130">
        <f t="shared" ref="I224" si="91">I174+I187+I196+I211+I223</f>
        <v>662552999.59915316</v>
      </c>
    </row>
    <row r="225" spans="1:9" ht="15.75">
      <c r="A225" s="161" t="s">
        <v>33</v>
      </c>
      <c r="B225" s="174" t="s">
        <v>29</v>
      </c>
      <c r="C225" s="168"/>
      <c r="D225" s="105">
        <v>101.1</v>
      </c>
      <c r="I225" s="126">
        <f t="shared" ref="I225:I229" si="92">SUM(E225:H225)</f>
        <v>0</v>
      </c>
    </row>
    <row r="226" spans="1:9" ht="15.75" customHeight="1">
      <c r="A226" s="162"/>
      <c r="B226" s="174" t="s">
        <v>159</v>
      </c>
      <c r="C226" s="168" t="s">
        <v>159</v>
      </c>
      <c r="D226" s="106">
        <v>101.1</v>
      </c>
      <c r="I226" s="126">
        <f t="shared" si="92"/>
        <v>0</v>
      </c>
    </row>
    <row r="227" spans="1:9" ht="15.75" customHeight="1">
      <c r="A227" s="162"/>
      <c r="B227" s="174" t="s">
        <v>30</v>
      </c>
      <c r="C227" s="168" t="s">
        <v>30</v>
      </c>
      <c r="D227" s="106">
        <v>101.1</v>
      </c>
      <c r="I227" s="126">
        <f t="shared" si="92"/>
        <v>0</v>
      </c>
    </row>
    <row r="228" spans="1:9" ht="15.75">
      <c r="A228" s="162"/>
      <c r="B228" s="174" t="s">
        <v>31</v>
      </c>
      <c r="C228" s="168" t="s">
        <v>31</v>
      </c>
      <c r="D228" s="106">
        <v>101.1</v>
      </c>
      <c r="I228" s="126">
        <f t="shared" si="92"/>
        <v>0</v>
      </c>
    </row>
    <row r="229" spans="1:9" ht="15.75">
      <c r="A229" s="162"/>
      <c r="B229" s="174" t="s">
        <v>32</v>
      </c>
      <c r="C229" s="168" t="s">
        <v>32</v>
      </c>
      <c r="D229" s="106">
        <v>101.1</v>
      </c>
      <c r="I229" s="126">
        <f t="shared" si="92"/>
        <v>0</v>
      </c>
    </row>
    <row r="230" spans="1:9" ht="15.75">
      <c r="A230" s="163"/>
      <c r="B230" s="165" t="s">
        <v>34</v>
      </c>
      <c r="C230" s="157"/>
      <c r="D230" s="158"/>
      <c r="E230" s="120">
        <f t="shared" ref="E230:H230" si="93">SUM(E225:E229)</f>
        <v>0</v>
      </c>
      <c r="F230" s="120">
        <f t="shared" si="93"/>
        <v>0</v>
      </c>
      <c r="G230" s="120">
        <f t="shared" si="93"/>
        <v>0</v>
      </c>
      <c r="H230" s="120">
        <f t="shared" si="93"/>
        <v>0</v>
      </c>
      <c r="I230" s="130">
        <f t="shared" ref="I230" si="94">SUM(I225:I229)</f>
        <v>0</v>
      </c>
    </row>
    <row r="231" spans="1:9" ht="15.75">
      <c r="A231" s="161" t="s">
        <v>160</v>
      </c>
      <c r="B231" s="174" t="s">
        <v>29</v>
      </c>
      <c r="C231" s="168"/>
      <c r="D231" s="21">
        <v>104</v>
      </c>
      <c r="I231" s="126">
        <f t="shared" ref="I231:I235" si="95">SUM(E231:H231)</f>
        <v>0</v>
      </c>
    </row>
    <row r="232" spans="1:9" ht="15.75">
      <c r="A232" s="162"/>
      <c r="B232" s="174" t="s">
        <v>159</v>
      </c>
      <c r="C232" s="168" t="s">
        <v>159</v>
      </c>
      <c r="D232" s="21">
        <v>104</v>
      </c>
      <c r="I232" s="126">
        <f t="shared" si="95"/>
        <v>0</v>
      </c>
    </row>
    <row r="233" spans="1:9" ht="15.75">
      <c r="A233" s="162"/>
      <c r="B233" s="174" t="s">
        <v>30</v>
      </c>
      <c r="C233" s="168" t="s">
        <v>30</v>
      </c>
      <c r="D233" s="21">
        <v>104</v>
      </c>
      <c r="I233" s="126">
        <f t="shared" si="95"/>
        <v>0</v>
      </c>
    </row>
    <row r="234" spans="1:9" ht="15.75">
      <c r="A234" s="162"/>
      <c r="B234" s="174" t="s">
        <v>31</v>
      </c>
      <c r="C234" s="168" t="s">
        <v>31</v>
      </c>
      <c r="D234" s="21">
        <v>104</v>
      </c>
      <c r="I234" s="126">
        <f t="shared" si="95"/>
        <v>0</v>
      </c>
    </row>
    <row r="235" spans="1:9" ht="15.75">
      <c r="A235" s="162"/>
      <c r="B235" s="174" t="s">
        <v>32</v>
      </c>
      <c r="C235" s="168" t="s">
        <v>32</v>
      </c>
      <c r="D235" s="21">
        <v>104</v>
      </c>
      <c r="I235" s="126">
        <f t="shared" si="95"/>
        <v>0</v>
      </c>
    </row>
    <row r="236" spans="1:9" ht="15.75">
      <c r="A236" s="163"/>
      <c r="B236" s="165" t="s">
        <v>161</v>
      </c>
      <c r="C236" s="157"/>
      <c r="D236" s="158"/>
      <c r="E236" s="120">
        <f t="shared" ref="E236:H236" si="96">SUM(E231:E235)</f>
        <v>0</v>
      </c>
      <c r="F236" s="120">
        <f t="shared" si="96"/>
        <v>0</v>
      </c>
      <c r="G236" s="120">
        <f t="shared" si="96"/>
        <v>0</v>
      </c>
      <c r="H236" s="120">
        <f t="shared" si="96"/>
        <v>0</v>
      </c>
      <c r="I236" s="130">
        <f t="shared" ref="I236" si="97">SUM(I231:I235)</f>
        <v>0</v>
      </c>
    </row>
    <row r="237" spans="1:9" ht="15.75">
      <c r="A237" s="161" t="s">
        <v>162</v>
      </c>
      <c r="B237" s="174" t="s">
        <v>29</v>
      </c>
      <c r="C237" s="168"/>
      <c r="D237" s="21">
        <v>105</v>
      </c>
      <c r="I237" s="126">
        <f t="shared" ref="I237:I241" si="98">SUM(E237:H237)</f>
        <v>0</v>
      </c>
    </row>
    <row r="238" spans="1:9" ht="15.75">
      <c r="A238" s="162"/>
      <c r="B238" s="174" t="s">
        <v>159</v>
      </c>
      <c r="C238" s="168" t="s">
        <v>159</v>
      </c>
      <c r="D238" s="21">
        <v>105</v>
      </c>
      <c r="I238" s="126">
        <f t="shared" si="98"/>
        <v>0</v>
      </c>
    </row>
    <row r="239" spans="1:9" ht="15.75">
      <c r="A239" s="162"/>
      <c r="B239" s="174" t="s">
        <v>30</v>
      </c>
      <c r="C239" s="168" t="s">
        <v>30</v>
      </c>
      <c r="D239" s="21">
        <v>105</v>
      </c>
      <c r="I239" s="126">
        <f t="shared" si="98"/>
        <v>0</v>
      </c>
    </row>
    <row r="240" spans="1:9" ht="15.75">
      <c r="A240" s="162"/>
      <c r="B240" s="174" t="s">
        <v>31</v>
      </c>
      <c r="C240" s="168" t="s">
        <v>31</v>
      </c>
      <c r="D240" s="21">
        <v>105</v>
      </c>
      <c r="I240" s="126">
        <f t="shared" si="98"/>
        <v>0</v>
      </c>
    </row>
    <row r="241" spans="1:9" ht="15.75">
      <c r="A241" s="162"/>
      <c r="B241" s="174" t="s">
        <v>32</v>
      </c>
      <c r="C241" s="168" t="s">
        <v>32</v>
      </c>
      <c r="D241" s="21">
        <v>105</v>
      </c>
      <c r="I241" s="126">
        <f t="shared" si="98"/>
        <v>0</v>
      </c>
    </row>
    <row r="242" spans="1:9" ht="15.75">
      <c r="A242" s="163"/>
      <c r="B242" s="165" t="s">
        <v>163</v>
      </c>
      <c r="C242" s="157"/>
      <c r="D242" s="158"/>
      <c r="E242" s="120">
        <f t="shared" ref="E242:H242" si="99">SUM(E237:E241)</f>
        <v>0</v>
      </c>
      <c r="F242" s="120">
        <f t="shared" si="99"/>
        <v>0</v>
      </c>
      <c r="G242" s="120">
        <f t="shared" si="99"/>
        <v>0</v>
      </c>
      <c r="H242" s="120">
        <f t="shared" si="99"/>
        <v>0</v>
      </c>
      <c r="I242" s="130">
        <f t="shared" ref="I242" si="100">SUM(I237:I241)</f>
        <v>0</v>
      </c>
    </row>
    <row r="243" spans="1:9" ht="15.75">
      <c r="A243" s="161" t="s">
        <v>35</v>
      </c>
      <c r="B243" s="174" t="s">
        <v>35</v>
      </c>
      <c r="C243" s="168"/>
      <c r="D243" s="21">
        <v>106</v>
      </c>
      <c r="I243" s="126">
        <f t="shared" ref="I243" si="101">SUM(E243:H243)</f>
        <v>0</v>
      </c>
    </row>
    <row r="244" spans="1:9" ht="15.75">
      <c r="A244" s="163"/>
      <c r="B244" s="165" t="s">
        <v>36</v>
      </c>
      <c r="C244" s="157"/>
      <c r="D244" s="158"/>
      <c r="E244" s="120">
        <f t="shared" ref="E244:H244" si="102">SUM(E243)</f>
        <v>0</v>
      </c>
      <c r="F244" s="120">
        <f t="shared" si="102"/>
        <v>0</v>
      </c>
      <c r="G244" s="120">
        <f t="shared" si="102"/>
        <v>0</v>
      </c>
      <c r="H244" s="120">
        <f t="shared" si="102"/>
        <v>0</v>
      </c>
      <c r="I244" s="130">
        <f t="shared" ref="I244" si="103">SUM(I243)</f>
        <v>0</v>
      </c>
    </row>
    <row r="245" spans="1:9" ht="15.75">
      <c r="A245" s="161" t="s">
        <v>37</v>
      </c>
      <c r="B245" s="174" t="s">
        <v>29</v>
      </c>
      <c r="C245" s="168"/>
      <c r="D245" s="21">
        <v>107</v>
      </c>
      <c r="I245" s="126">
        <f t="shared" ref="I245:I249" si="104">SUM(E245:H245)</f>
        <v>0</v>
      </c>
    </row>
    <row r="246" spans="1:9" ht="15.75">
      <c r="A246" s="162"/>
      <c r="B246" s="174" t="s">
        <v>159</v>
      </c>
      <c r="C246" s="168" t="s">
        <v>159</v>
      </c>
      <c r="D246" s="21">
        <v>107</v>
      </c>
      <c r="I246" s="126">
        <f t="shared" si="104"/>
        <v>0</v>
      </c>
    </row>
    <row r="247" spans="1:9" ht="15.75">
      <c r="A247" s="162"/>
      <c r="B247" s="174" t="s">
        <v>30</v>
      </c>
      <c r="C247" s="168" t="s">
        <v>30</v>
      </c>
      <c r="D247" s="21">
        <v>107</v>
      </c>
      <c r="I247" s="126">
        <f t="shared" si="104"/>
        <v>0</v>
      </c>
    </row>
    <row r="248" spans="1:9" ht="15.75">
      <c r="A248" s="162"/>
      <c r="B248" s="174" t="s">
        <v>31</v>
      </c>
      <c r="C248" s="168" t="s">
        <v>31</v>
      </c>
      <c r="D248" s="21">
        <v>107</v>
      </c>
      <c r="I248" s="126">
        <f t="shared" si="104"/>
        <v>0</v>
      </c>
    </row>
    <row r="249" spans="1:9" ht="15.75">
      <c r="A249" s="162"/>
      <c r="B249" s="174" t="s">
        <v>32</v>
      </c>
      <c r="C249" s="168" t="s">
        <v>32</v>
      </c>
      <c r="D249" s="21">
        <v>107</v>
      </c>
      <c r="I249" s="126">
        <f t="shared" si="104"/>
        <v>0</v>
      </c>
    </row>
    <row r="250" spans="1:9" ht="15.75">
      <c r="A250" s="163"/>
      <c r="B250" s="165" t="s">
        <v>38</v>
      </c>
      <c r="C250" s="157"/>
      <c r="D250" s="158"/>
      <c r="E250" s="120">
        <f t="shared" ref="E250:H250" si="105">SUM(E245:E249)</f>
        <v>0</v>
      </c>
      <c r="F250" s="120">
        <f t="shared" si="105"/>
        <v>0</v>
      </c>
      <c r="G250" s="120">
        <f t="shared" si="105"/>
        <v>0</v>
      </c>
      <c r="H250" s="120">
        <f t="shared" si="105"/>
        <v>0</v>
      </c>
      <c r="I250" s="130">
        <f t="shared" ref="I250" si="106">SUM(I245:I249)</f>
        <v>0</v>
      </c>
    </row>
    <row r="251" spans="1:9" ht="15.75">
      <c r="A251" s="161" t="s">
        <v>164</v>
      </c>
      <c r="B251" s="174" t="s">
        <v>29</v>
      </c>
      <c r="C251" s="168"/>
      <c r="D251" s="105">
        <v>108</v>
      </c>
      <c r="I251" s="126">
        <f t="shared" ref="I251:I255" si="107">SUM(E251:H251)</f>
        <v>0</v>
      </c>
    </row>
    <row r="252" spans="1:9" ht="15.75">
      <c r="A252" s="162"/>
      <c r="B252" s="174" t="s">
        <v>159</v>
      </c>
      <c r="C252" s="168" t="s">
        <v>159</v>
      </c>
      <c r="D252" s="105">
        <v>108</v>
      </c>
      <c r="E252" s="110">
        <v>-7802061.2983162692</v>
      </c>
      <c r="F252" s="110">
        <v>-3380345.9570014118</v>
      </c>
      <c r="G252" s="110">
        <v>-59596.504435661744</v>
      </c>
      <c r="H252" s="110">
        <v>-239996.24024665679</v>
      </c>
      <c r="I252" s="126">
        <f t="shared" si="107"/>
        <v>-11482000</v>
      </c>
    </row>
    <row r="253" spans="1:9" ht="15.75">
      <c r="A253" s="162"/>
      <c r="B253" s="174" t="s">
        <v>30</v>
      </c>
      <c r="C253" s="168" t="s">
        <v>30</v>
      </c>
      <c r="D253" s="105">
        <v>108</v>
      </c>
      <c r="I253" s="126">
        <f t="shared" si="107"/>
        <v>0</v>
      </c>
    </row>
    <row r="254" spans="1:9" ht="15.75">
      <c r="A254" s="162"/>
      <c r="B254" s="174" t="s">
        <v>31</v>
      </c>
      <c r="C254" s="168" t="s">
        <v>31</v>
      </c>
      <c r="D254" s="105">
        <v>108</v>
      </c>
      <c r="E254" s="110">
        <v>-118631617.21443748</v>
      </c>
      <c r="F254" s="110">
        <v>-21958127.746834014</v>
      </c>
      <c r="G254" s="110">
        <v>-272403.57488495862</v>
      </c>
      <c r="H254" s="110">
        <v>-7470851.3456176566</v>
      </c>
      <c r="I254" s="126">
        <f t="shared" si="107"/>
        <v>-148332999.8817741</v>
      </c>
    </row>
    <row r="255" spans="1:9" ht="15.75">
      <c r="A255" s="162"/>
      <c r="B255" s="174" t="s">
        <v>32</v>
      </c>
      <c r="C255" s="168" t="s">
        <v>32</v>
      </c>
      <c r="D255" s="105">
        <v>108</v>
      </c>
      <c r="E255" s="110">
        <v>-21642520.189920072</v>
      </c>
      <c r="F255" s="110">
        <v>-2425426.4623209601</v>
      </c>
      <c r="G255" s="110">
        <v>-29996.298466429776</v>
      </c>
      <c r="H255" s="110">
        <v>-630057.0413720581</v>
      </c>
      <c r="I255" s="126">
        <f t="shared" si="107"/>
        <v>-24727999.992079519</v>
      </c>
    </row>
    <row r="256" spans="1:9" ht="15.75">
      <c r="A256" s="163"/>
      <c r="B256" s="165" t="s">
        <v>346</v>
      </c>
      <c r="C256" s="157"/>
      <c r="D256" s="158"/>
      <c r="E256" s="120">
        <f t="shared" ref="E256:H256" si="108">SUM(E251:E255)</f>
        <v>-148076198.70267382</v>
      </c>
      <c r="F256" s="120">
        <f t="shared" si="108"/>
        <v>-27763900.166156385</v>
      </c>
      <c r="G256" s="120">
        <f t="shared" si="108"/>
        <v>-361996.37778705015</v>
      </c>
      <c r="H256" s="120">
        <f t="shared" si="108"/>
        <v>-8340904.6272363709</v>
      </c>
      <c r="I256" s="130">
        <f t="shared" ref="I256" si="109">SUM(I251:I255)</f>
        <v>-184542999.87385362</v>
      </c>
    </row>
    <row r="257" spans="1:9" ht="15.75">
      <c r="A257" s="161" t="s">
        <v>165</v>
      </c>
      <c r="B257" s="174" t="s">
        <v>29</v>
      </c>
      <c r="C257" s="168"/>
      <c r="D257" s="20">
        <v>111</v>
      </c>
      <c r="E257" s="110">
        <v>-9103536.2546722367</v>
      </c>
      <c r="F257" s="110">
        <v>-1060914.3612357781</v>
      </c>
      <c r="G257" s="110">
        <v>-13124.746235224806</v>
      </c>
      <c r="H257" s="110">
        <v>-283424.63425239566</v>
      </c>
      <c r="I257" s="126">
        <f t="shared" ref="I257:I261" si="110">SUM(E257:H257)</f>
        <v>-10460999.996395636</v>
      </c>
    </row>
    <row r="258" spans="1:9" ht="15.75">
      <c r="A258" s="162"/>
      <c r="B258" s="174" t="s">
        <v>159</v>
      </c>
      <c r="C258" s="168" t="s">
        <v>159</v>
      </c>
      <c r="D258" s="20">
        <v>111</v>
      </c>
      <c r="I258" s="126">
        <f t="shared" si="110"/>
        <v>0</v>
      </c>
    </row>
    <row r="259" spans="1:9" ht="15.75">
      <c r="A259" s="162"/>
      <c r="B259" s="174" t="s">
        <v>30</v>
      </c>
      <c r="C259" s="168" t="s">
        <v>30</v>
      </c>
      <c r="D259" s="20">
        <v>111</v>
      </c>
      <c r="I259" s="126">
        <f t="shared" si="110"/>
        <v>0</v>
      </c>
    </row>
    <row r="260" spans="1:9" ht="15.75">
      <c r="A260" s="162"/>
      <c r="B260" s="174" t="s">
        <v>31</v>
      </c>
      <c r="C260" s="168" t="s">
        <v>31</v>
      </c>
      <c r="D260" s="20">
        <v>111</v>
      </c>
      <c r="I260" s="126">
        <f t="shared" si="110"/>
        <v>0</v>
      </c>
    </row>
    <row r="261" spans="1:9" ht="15.75">
      <c r="A261" s="162"/>
      <c r="B261" s="174" t="s">
        <v>32</v>
      </c>
      <c r="C261" s="168" t="s">
        <v>32</v>
      </c>
      <c r="D261" s="20">
        <v>111</v>
      </c>
      <c r="I261" s="126">
        <f t="shared" si="110"/>
        <v>0</v>
      </c>
    </row>
    <row r="262" spans="1:9" ht="15.75">
      <c r="A262" s="163"/>
      <c r="B262" s="165" t="s">
        <v>347</v>
      </c>
      <c r="C262" s="157"/>
      <c r="D262" s="158"/>
      <c r="E262" s="120">
        <f t="shared" ref="E262:H262" si="111">SUM(E257:E261)</f>
        <v>-9103536.2546722367</v>
      </c>
      <c r="F262" s="120">
        <f t="shared" si="111"/>
        <v>-1060914.3612357781</v>
      </c>
      <c r="G262" s="120">
        <f t="shared" si="111"/>
        <v>-13124.746235224806</v>
      </c>
      <c r="H262" s="120">
        <f t="shared" si="111"/>
        <v>-283424.63425239566</v>
      </c>
      <c r="I262" s="130">
        <f t="shared" ref="I262" si="112">SUM(I257:I261)</f>
        <v>-10460999.996395636</v>
      </c>
    </row>
    <row r="263" spans="1:9" ht="15.75">
      <c r="A263" s="161" t="s">
        <v>187</v>
      </c>
      <c r="B263" s="174" t="s">
        <v>187</v>
      </c>
      <c r="C263" s="168"/>
      <c r="D263" s="21">
        <v>114</v>
      </c>
      <c r="I263" s="126">
        <f t="shared" ref="I263" si="113">SUM(E263:H263)</f>
        <v>0</v>
      </c>
    </row>
    <row r="264" spans="1:9" ht="15.75">
      <c r="A264" s="163"/>
      <c r="B264" s="165" t="s">
        <v>356</v>
      </c>
      <c r="C264" s="157"/>
      <c r="D264" s="158"/>
      <c r="E264" s="120">
        <f t="shared" ref="E264:H264" si="114">SUM(E263)</f>
        <v>0</v>
      </c>
      <c r="F264" s="120">
        <f t="shared" si="114"/>
        <v>0</v>
      </c>
      <c r="G264" s="120">
        <f t="shared" si="114"/>
        <v>0</v>
      </c>
      <c r="H264" s="120">
        <f t="shared" si="114"/>
        <v>0</v>
      </c>
      <c r="I264" s="130">
        <f t="shared" ref="I264" si="115">SUM(I263)</f>
        <v>0</v>
      </c>
    </row>
    <row r="265" spans="1:9" ht="15.75">
      <c r="A265" s="161" t="s">
        <v>188</v>
      </c>
      <c r="B265" s="174" t="s">
        <v>188</v>
      </c>
      <c r="C265" s="168"/>
      <c r="D265" s="21">
        <v>115</v>
      </c>
      <c r="I265" s="126">
        <f t="shared" ref="I265" si="116">SUM(E265:H265)</f>
        <v>0</v>
      </c>
    </row>
    <row r="266" spans="1:9" ht="15.75">
      <c r="A266" s="163"/>
      <c r="B266" s="165" t="s">
        <v>348</v>
      </c>
      <c r="C266" s="157"/>
      <c r="D266" s="158"/>
      <c r="E266" s="120">
        <f t="shared" ref="E266:H266" si="117">SUM(E265)</f>
        <v>0</v>
      </c>
      <c r="F266" s="120">
        <f t="shared" si="117"/>
        <v>0</v>
      </c>
      <c r="G266" s="120">
        <f t="shared" si="117"/>
        <v>0</v>
      </c>
      <c r="H266" s="120">
        <f t="shared" si="117"/>
        <v>0</v>
      </c>
      <c r="I266" s="130">
        <f t="shared" ref="I266" si="118">SUM(I265)</f>
        <v>0</v>
      </c>
    </row>
    <row r="267" spans="1:9" ht="15.75">
      <c r="A267" s="161" t="s">
        <v>166</v>
      </c>
      <c r="B267" s="169" t="s">
        <v>167</v>
      </c>
      <c r="C267" s="170"/>
      <c r="D267" s="21">
        <v>117.1</v>
      </c>
      <c r="E267" s="110">
        <f>5677253.27882185-E269</f>
        <v>2690828.7365631922</v>
      </c>
      <c r="F267" s="110">
        <f>2459744.85897464-F269</f>
        <v>1165845.2708082101</v>
      </c>
      <c r="G267" s="110">
        <f>43366.0333182332-G269</f>
        <v>20554.198811842991</v>
      </c>
      <c r="H267" s="110">
        <f>174635.828885283-H269</f>
        <v>82772.143816757583</v>
      </c>
      <c r="I267" s="126">
        <f t="shared" ref="I267:I270" si="119">SUM(E267:H267)</f>
        <v>3960000.3500000029</v>
      </c>
    </row>
    <row r="268" spans="1:9" ht="15.75">
      <c r="A268" s="162"/>
      <c r="B268" s="169" t="s">
        <v>168</v>
      </c>
      <c r="C268" s="170"/>
      <c r="D268" s="21">
        <v>117.2</v>
      </c>
      <c r="I268" s="126">
        <f t="shared" si="119"/>
        <v>0</v>
      </c>
    </row>
    <row r="269" spans="1:9" ht="15.75">
      <c r="A269" s="162"/>
      <c r="B269" s="169" t="s">
        <v>169</v>
      </c>
      <c r="C269" s="170"/>
      <c r="D269" s="21">
        <v>117.3</v>
      </c>
      <c r="E269" s="110">
        <f>5677253.27882185*0.52603+19</f>
        <v>2986424.542258658</v>
      </c>
      <c r="F269" s="110">
        <f>2459744.85897464*0.52603</f>
        <v>1293899.5881664297</v>
      </c>
      <c r="G269" s="110">
        <f>43366.0333182332*0.52603</f>
        <v>22811.834506390212</v>
      </c>
      <c r="H269" s="110">
        <f>174635.828885283*0.52603</f>
        <v>91863.685068525418</v>
      </c>
      <c r="I269" s="126">
        <f t="shared" si="119"/>
        <v>4394999.6500000041</v>
      </c>
    </row>
    <row r="270" spans="1:9" ht="15.75">
      <c r="A270" s="162"/>
      <c r="B270" s="169" t="s">
        <v>170</v>
      </c>
      <c r="C270" s="170"/>
      <c r="D270" s="21">
        <v>117.4</v>
      </c>
      <c r="I270" s="126">
        <f t="shared" si="119"/>
        <v>0</v>
      </c>
    </row>
    <row r="271" spans="1:9" ht="15.75">
      <c r="A271" s="163"/>
      <c r="B271" s="171"/>
      <c r="C271" s="172"/>
      <c r="D271" s="173"/>
      <c r="E271" s="120">
        <f t="shared" ref="E271:H271" si="120">SUM(E267:E270)</f>
        <v>5677253.2788218502</v>
      </c>
      <c r="F271" s="120">
        <f t="shared" si="120"/>
        <v>2459744.8589746398</v>
      </c>
      <c r="G271" s="120">
        <f t="shared" si="120"/>
        <v>43366.033318233203</v>
      </c>
      <c r="H271" s="120">
        <f t="shared" si="120"/>
        <v>174635.828885283</v>
      </c>
      <c r="I271" s="130">
        <f t="shared" ref="I271" si="121">SUM(I267:I270)</f>
        <v>8355000.0000000075</v>
      </c>
    </row>
    <row r="272" spans="1:9" ht="15.75">
      <c r="A272" s="166" t="s">
        <v>349</v>
      </c>
      <c r="B272" s="166"/>
      <c r="C272" s="166"/>
      <c r="D272" s="167"/>
      <c r="E272" s="121">
        <f t="shared" ref="E272:H272" si="122">E224+E230+E236+E242+E244+E250+E256+E262+E264+E266+E271</f>
        <v>381984158.94367713</v>
      </c>
      <c r="F272" s="121">
        <f t="shared" si="122"/>
        <v>71519875.372496158</v>
      </c>
      <c r="G272" s="121">
        <f t="shared" si="122"/>
        <v>926917.70569255098</v>
      </c>
      <c r="H272" s="121">
        <f t="shared" si="122"/>
        <v>21473047.707038086</v>
      </c>
      <c r="I272" s="131">
        <f t="shared" ref="I272" si="123">I224+I230+I236+I242+I244+I250+I256+I262+I264+I266+I271</f>
        <v>475903999.72890389</v>
      </c>
    </row>
    <row r="273" spans="1:9" ht="15.75">
      <c r="A273" s="161" t="s">
        <v>40</v>
      </c>
      <c r="B273" s="168" t="s">
        <v>40</v>
      </c>
      <c r="C273" s="168"/>
      <c r="D273" s="21">
        <v>165</v>
      </c>
      <c r="I273" s="126">
        <f t="shared" ref="I273" si="124">SUM(E273:H273)</f>
        <v>0</v>
      </c>
    </row>
    <row r="274" spans="1:9" ht="15.75">
      <c r="A274" s="162"/>
      <c r="B274" s="157" t="s">
        <v>350</v>
      </c>
      <c r="C274" s="157"/>
      <c r="D274" s="158"/>
      <c r="E274" s="120">
        <f t="shared" ref="E274:H274" si="125">SUM(E273)</f>
        <v>0</v>
      </c>
      <c r="F274" s="120">
        <f t="shared" si="125"/>
        <v>0</v>
      </c>
      <c r="G274" s="120">
        <f t="shared" si="125"/>
        <v>0</v>
      </c>
      <c r="H274" s="120">
        <f t="shared" si="125"/>
        <v>0</v>
      </c>
      <c r="I274" s="130">
        <f t="shared" ref="I274" si="126">SUM(I273)</f>
        <v>0</v>
      </c>
    </row>
    <row r="275" spans="1:9" ht="15.75">
      <c r="A275" s="163"/>
      <c r="B275" s="148" t="s">
        <v>41</v>
      </c>
      <c r="C275" s="149"/>
      <c r="D275" s="150"/>
      <c r="E275" s="121">
        <f t="shared" ref="E275:H275" si="127">E274</f>
        <v>0</v>
      </c>
      <c r="F275" s="121">
        <f t="shared" si="127"/>
        <v>0</v>
      </c>
      <c r="G275" s="121">
        <f t="shared" si="127"/>
        <v>0</v>
      </c>
      <c r="H275" s="121">
        <f t="shared" si="127"/>
        <v>0</v>
      </c>
      <c r="I275" s="131">
        <f t="shared" ref="I275" si="128">I274</f>
        <v>0</v>
      </c>
    </row>
    <row r="276" spans="1:9" ht="15.75">
      <c r="A276" s="161" t="s">
        <v>42</v>
      </c>
      <c r="B276" s="164" t="s">
        <v>43</v>
      </c>
      <c r="C276" s="164"/>
      <c r="D276" s="107">
        <v>182.3</v>
      </c>
      <c r="E276" s="110">
        <f>6743000+1824000</f>
        <v>8567000</v>
      </c>
      <c r="I276" s="126">
        <f t="shared" ref="I276:I278" si="129">SUM(E276:H276)</f>
        <v>8567000</v>
      </c>
    </row>
    <row r="277" spans="1:9" ht="15.75">
      <c r="A277" s="162"/>
      <c r="B277" s="164" t="s">
        <v>44</v>
      </c>
      <c r="C277" s="164" t="s">
        <v>44</v>
      </c>
      <c r="D277" s="22">
        <v>186</v>
      </c>
      <c r="I277" s="126">
        <f t="shared" si="129"/>
        <v>0</v>
      </c>
    </row>
    <row r="278" spans="1:9" ht="15.75">
      <c r="A278" s="162"/>
      <c r="B278" s="164" t="s">
        <v>45</v>
      </c>
      <c r="C278" s="164" t="s">
        <v>45</v>
      </c>
      <c r="D278" s="22">
        <v>190</v>
      </c>
      <c r="I278" s="126">
        <f t="shared" si="129"/>
        <v>0</v>
      </c>
    </row>
    <row r="279" spans="1:9" ht="15.75">
      <c r="A279" s="162"/>
      <c r="B279" s="165" t="s">
        <v>171</v>
      </c>
      <c r="C279" s="157"/>
      <c r="D279" s="158"/>
      <c r="E279" s="120">
        <f t="shared" ref="E279:H279" si="130">SUM(E276:E278)</f>
        <v>8567000</v>
      </c>
      <c r="F279" s="120">
        <f t="shared" si="130"/>
        <v>0</v>
      </c>
      <c r="G279" s="120">
        <f t="shared" si="130"/>
        <v>0</v>
      </c>
      <c r="H279" s="120">
        <f t="shared" si="130"/>
        <v>0</v>
      </c>
      <c r="I279" s="130">
        <f t="shared" ref="I279" si="131">SUM(I276:I278)</f>
        <v>8567000</v>
      </c>
    </row>
    <row r="280" spans="1:9" ht="15.75">
      <c r="A280" s="163"/>
      <c r="B280" s="148" t="s">
        <v>171</v>
      </c>
      <c r="C280" s="149"/>
      <c r="D280" s="150"/>
      <c r="E280" s="121">
        <f t="shared" ref="E280:H280" si="132">E279</f>
        <v>8567000</v>
      </c>
      <c r="F280" s="121">
        <f t="shared" si="132"/>
        <v>0</v>
      </c>
      <c r="G280" s="121">
        <f t="shared" si="132"/>
        <v>0</v>
      </c>
      <c r="H280" s="121">
        <f t="shared" si="132"/>
        <v>0</v>
      </c>
      <c r="I280" s="131">
        <f t="shared" ref="I280" si="133">I279</f>
        <v>8567000</v>
      </c>
    </row>
    <row r="281" spans="1:9" ht="15.75">
      <c r="A281" s="153" t="s">
        <v>46</v>
      </c>
      <c r="B281" s="164" t="s">
        <v>47</v>
      </c>
      <c r="C281" s="164"/>
      <c r="D281" s="107">
        <v>228.1</v>
      </c>
      <c r="I281" s="126">
        <f t="shared" ref="I281:I285" si="134">SUM(E281:H281)</f>
        <v>0</v>
      </c>
    </row>
    <row r="282" spans="1:9" ht="15.75">
      <c r="A282" s="154"/>
      <c r="B282" s="164" t="s">
        <v>48</v>
      </c>
      <c r="C282" s="164" t="s">
        <v>48</v>
      </c>
      <c r="D282" s="107">
        <v>228.2</v>
      </c>
      <c r="I282" s="126">
        <f t="shared" si="134"/>
        <v>0</v>
      </c>
    </row>
    <row r="283" spans="1:9" ht="15.75">
      <c r="A283" s="154"/>
      <c r="B283" s="164" t="s">
        <v>49</v>
      </c>
      <c r="C283" s="164" t="s">
        <v>49</v>
      </c>
      <c r="D283" s="107">
        <v>228.3</v>
      </c>
      <c r="I283" s="126">
        <f t="shared" si="134"/>
        <v>0</v>
      </c>
    </row>
    <row r="284" spans="1:9" ht="15.75">
      <c r="A284" s="154"/>
      <c r="B284" s="164" t="s">
        <v>50</v>
      </c>
      <c r="C284" s="164" t="s">
        <v>50</v>
      </c>
      <c r="D284" s="107">
        <v>228.4</v>
      </c>
      <c r="I284" s="126">
        <f t="shared" si="134"/>
        <v>0</v>
      </c>
    </row>
    <row r="285" spans="1:9" ht="15.75">
      <c r="A285" s="154"/>
      <c r="B285" s="164" t="s">
        <v>172</v>
      </c>
      <c r="C285" s="164" t="s">
        <v>172</v>
      </c>
      <c r="D285" s="22">
        <v>229</v>
      </c>
      <c r="I285" s="126">
        <f t="shared" si="134"/>
        <v>0</v>
      </c>
    </row>
    <row r="286" spans="1:9" ht="15.75">
      <c r="A286" s="154"/>
      <c r="B286" s="157" t="s">
        <v>351</v>
      </c>
      <c r="C286" s="157"/>
      <c r="D286" s="158"/>
      <c r="E286" s="120">
        <f t="shared" ref="E286:H286" si="135">SUM(E281:E285)</f>
        <v>0</v>
      </c>
      <c r="F286" s="120">
        <f t="shared" si="135"/>
        <v>0</v>
      </c>
      <c r="G286" s="120">
        <f t="shared" si="135"/>
        <v>0</v>
      </c>
      <c r="H286" s="120">
        <f t="shared" si="135"/>
        <v>0</v>
      </c>
      <c r="I286" s="130">
        <f t="shared" ref="I286" si="136">SUM(I281:I285)</f>
        <v>0</v>
      </c>
    </row>
    <row r="287" spans="1:9" ht="15.75">
      <c r="A287" s="155"/>
      <c r="B287" s="149" t="s">
        <v>46</v>
      </c>
      <c r="C287" s="149"/>
      <c r="D287" s="150"/>
      <c r="E287" s="121">
        <f t="shared" ref="E287:H287" si="137">E286</f>
        <v>0</v>
      </c>
      <c r="F287" s="121">
        <f t="shared" si="137"/>
        <v>0</v>
      </c>
      <c r="G287" s="121">
        <f t="shared" si="137"/>
        <v>0</v>
      </c>
      <c r="H287" s="121">
        <f t="shared" si="137"/>
        <v>0</v>
      </c>
      <c r="I287" s="131">
        <f t="shared" ref="I287" si="138">I286</f>
        <v>0</v>
      </c>
    </row>
    <row r="288" spans="1:9" ht="15.75">
      <c r="A288" s="153" t="s">
        <v>51</v>
      </c>
      <c r="B288" s="156" t="s">
        <v>51</v>
      </c>
      <c r="C288" s="156"/>
      <c r="D288" s="22">
        <v>235</v>
      </c>
      <c r="E288" s="110">
        <v>-566000</v>
      </c>
      <c r="I288" s="126">
        <f t="shared" ref="I288" si="139">SUM(E288:H288)</f>
        <v>-566000</v>
      </c>
    </row>
    <row r="289" spans="1:9" ht="15.75">
      <c r="A289" s="154"/>
      <c r="B289" s="157" t="s">
        <v>173</v>
      </c>
      <c r="C289" s="157"/>
      <c r="D289" s="158"/>
      <c r="E289" s="120">
        <f t="shared" ref="E289:H289" si="140">SUM(E288)</f>
        <v>-566000</v>
      </c>
      <c r="F289" s="120">
        <f t="shared" si="140"/>
        <v>0</v>
      </c>
      <c r="G289" s="120">
        <f t="shared" si="140"/>
        <v>0</v>
      </c>
      <c r="H289" s="120">
        <f t="shared" si="140"/>
        <v>0</v>
      </c>
      <c r="I289" s="130">
        <f t="shared" ref="I289" si="141">SUM(I288)</f>
        <v>-566000</v>
      </c>
    </row>
    <row r="290" spans="1:9" ht="15.75">
      <c r="A290" s="155"/>
      <c r="B290" s="159" t="s">
        <v>52</v>
      </c>
      <c r="C290" s="159"/>
      <c r="D290" s="160"/>
      <c r="E290" s="121">
        <f t="shared" ref="E290:H290" si="142">E289</f>
        <v>-566000</v>
      </c>
      <c r="F290" s="121">
        <f t="shared" si="142"/>
        <v>0</v>
      </c>
      <c r="G290" s="121">
        <f t="shared" si="142"/>
        <v>0</v>
      </c>
      <c r="H290" s="121">
        <f t="shared" si="142"/>
        <v>0</v>
      </c>
      <c r="I290" s="131">
        <f t="shared" ref="I290" si="143">I289</f>
        <v>-566000</v>
      </c>
    </row>
    <row r="291" spans="1:9" ht="15.75">
      <c r="A291" s="161" t="s">
        <v>53</v>
      </c>
      <c r="B291" s="164" t="s">
        <v>190</v>
      </c>
      <c r="C291" s="164"/>
      <c r="D291" s="22">
        <v>253</v>
      </c>
      <c r="I291" s="126">
        <f t="shared" ref="I291:I297" si="144">SUM(E291:H291)</f>
        <v>0</v>
      </c>
    </row>
    <row r="292" spans="1:9" ht="15.75">
      <c r="A292" s="162"/>
      <c r="B292" s="164" t="s">
        <v>221</v>
      </c>
      <c r="C292" s="164" t="s">
        <v>54</v>
      </c>
      <c r="D292" s="22">
        <v>281</v>
      </c>
      <c r="I292" s="126">
        <f t="shared" si="144"/>
        <v>0</v>
      </c>
    </row>
    <row r="293" spans="1:9" ht="15.75">
      <c r="A293" s="162"/>
      <c r="B293" s="164" t="s">
        <v>222</v>
      </c>
      <c r="C293" s="164" t="s">
        <v>55</v>
      </c>
      <c r="D293" s="22">
        <v>282</v>
      </c>
      <c r="E293" s="110">
        <f>-72377677.1854454+320000+9000</f>
        <v>-72048677.185445398</v>
      </c>
      <c r="F293" s="110">
        <v>-13279966.945795503</v>
      </c>
      <c r="G293" s="110">
        <v>-170763.06396997205</v>
      </c>
      <c r="H293" s="110">
        <v>-4059592.7504065349</v>
      </c>
      <c r="I293" s="126">
        <f t="shared" si="144"/>
        <v>-89558999.945617408</v>
      </c>
    </row>
    <row r="294" spans="1:9" ht="15.75">
      <c r="A294" s="162"/>
      <c r="B294" s="164" t="s">
        <v>223</v>
      </c>
      <c r="C294" s="164" t="s">
        <v>56</v>
      </c>
      <c r="D294" s="22">
        <v>283</v>
      </c>
      <c r="E294" s="110">
        <f>-1824000-320000</f>
        <v>-2144000</v>
      </c>
      <c r="I294" s="126">
        <f t="shared" si="144"/>
        <v>-2144000</v>
      </c>
    </row>
    <row r="295" spans="1:9" ht="15.75">
      <c r="A295" s="162"/>
      <c r="B295" s="164" t="s">
        <v>224</v>
      </c>
      <c r="C295" s="164" t="s">
        <v>57</v>
      </c>
      <c r="D295" s="22">
        <v>255</v>
      </c>
      <c r="I295" s="126">
        <f t="shared" si="144"/>
        <v>0</v>
      </c>
    </row>
    <row r="296" spans="1:9" ht="15.75">
      <c r="A296" s="162"/>
      <c r="B296" s="164" t="s">
        <v>58</v>
      </c>
      <c r="C296" s="164" t="s">
        <v>58</v>
      </c>
      <c r="D296" s="22">
        <v>252</v>
      </c>
      <c r="I296" s="126">
        <f t="shared" si="144"/>
        <v>0</v>
      </c>
    </row>
    <row r="297" spans="1:9" ht="15.75">
      <c r="A297" s="162"/>
      <c r="B297" s="164" t="s">
        <v>59</v>
      </c>
      <c r="C297" s="164" t="s">
        <v>59</v>
      </c>
      <c r="D297" s="22">
        <v>254</v>
      </c>
      <c r="E297" s="110">
        <f>-604704-9000</f>
        <v>-613704</v>
      </c>
      <c r="F297" s="110">
        <v>-110952</v>
      </c>
      <c r="G297" s="110">
        <v>-1427</v>
      </c>
      <c r="H297" s="110">
        <v>-33917</v>
      </c>
      <c r="I297" s="126">
        <f t="shared" si="144"/>
        <v>-760000</v>
      </c>
    </row>
    <row r="298" spans="1:9" ht="15.75">
      <c r="A298" s="162"/>
      <c r="B298" s="157" t="s">
        <v>60</v>
      </c>
      <c r="C298" s="157"/>
      <c r="D298" s="158"/>
      <c r="E298" s="120">
        <f t="shared" ref="E298:H298" si="145">SUM(E291:E297)</f>
        <v>-74806381.185445398</v>
      </c>
      <c r="F298" s="120">
        <f t="shared" si="145"/>
        <v>-13390918.945795503</v>
      </c>
      <c r="G298" s="120">
        <f t="shared" si="145"/>
        <v>-172190.06396997205</v>
      </c>
      <c r="H298" s="120">
        <f t="shared" si="145"/>
        <v>-4093509.7504065349</v>
      </c>
      <c r="I298" s="130">
        <f t="shared" ref="I298" si="146">SUM(I291:I297)</f>
        <v>-92462999.945617408</v>
      </c>
    </row>
    <row r="299" spans="1:9" ht="15.75">
      <c r="A299" s="163"/>
      <c r="B299" s="159" t="s">
        <v>60</v>
      </c>
      <c r="C299" s="159"/>
      <c r="D299" s="160"/>
      <c r="E299" s="121">
        <f t="shared" ref="E299:H299" si="147">E298</f>
        <v>-74806381.185445398</v>
      </c>
      <c r="F299" s="121">
        <f t="shared" si="147"/>
        <v>-13390918.945795503</v>
      </c>
      <c r="G299" s="121">
        <f t="shared" si="147"/>
        <v>-172190.06396997205</v>
      </c>
      <c r="H299" s="121">
        <f t="shared" si="147"/>
        <v>-4093509.7504065349</v>
      </c>
      <c r="I299" s="131">
        <f t="shared" ref="I299" si="148">I298</f>
        <v>-92462999.945617408</v>
      </c>
    </row>
    <row r="300" spans="1:9" ht="15.75">
      <c r="A300" s="144" t="s">
        <v>61</v>
      </c>
      <c r="B300" s="146" t="s">
        <v>61</v>
      </c>
      <c r="C300" s="147"/>
      <c r="D300" s="108"/>
      <c r="E300" s="110">
        <v>6078443.0076642893</v>
      </c>
      <c r="F300" s="110">
        <v>1115282.0228930474</v>
      </c>
      <c r="G300" s="110">
        <v>14341.073000949171</v>
      </c>
      <c r="H300" s="110">
        <v>340933.89187454316</v>
      </c>
      <c r="I300" s="126">
        <f t="shared" ref="I300" si="149">SUM(E300:H300)</f>
        <v>7548999.9954328286</v>
      </c>
    </row>
    <row r="301" spans="1:9" ht="15.75">
      <c r="A301" s="145"/>
      <c r="B301" s="148" t="s">
        <v>62</v>
      </c>
      <c r="C301" s="149"/>
      <c r="D301" s="150"/>
      <c r="E301" s="121">
        <f t="shared" ref="E301:H301" si="150">E300</f>
        <v>6078443.0076642893</v>
      </c>
      <c r="F301" s="121">
        <f t="shared" si="150"/>
        <v>1115282.0228930474</v>
      </c>
      <c r="G301" s="121">
        <f t="shared" si="150"/>
        <v>14341.073000949171</v>
      </c>
      <c r="H301" s="121">
        <f t="shared" si="150"/>
        <v>340933.89187454316</v>
      </c>
      <c r="I301" s="131">
        <f t="shared" ref="I301" si="151">I300</f>
        <v>7548999.9954328286</v>
      </c>
    </row>
    <row r="302" spans="1:9" ht="15.75">
      <c r="A302" s="151" t="s">
        <v>63</v>
      </c>
      <c r="B302" s="151"/>
      <c r="C302" s="151"/>
      <c r="D302" s="152"/>
      <c r="E302" s="122">
        <f t="shared" ref="E302:I302" si="152">E272+E275+E280+E287+E290+E299+E301</f>
        <v>321257220.76589602</v>
      </c>
      <c r="F302" s="122">
        <f t="shared" si="152"/>
        <v>59244238.4495937</v>
      </c>
      <c r="G302" s="122">
        <f t="shared" si="152"/>
        <v>769068.71472352813</v>
      </c>
      <c r="H302" s="122">
        <f t="shared" si="152"/>
        <v>17720471.848506097</v>
      </c>
      <c r="I302" s="122">
        <f t="shared" si="152"/>
        <v>398990999.77871931</v>
      </c>
    </row>
  </sheetData>
  <mergeCells count="186">
    <mergeCell ref="A225:A230"/>
    <mergeCell ref="B225:C225"/>
    <mergeCell ref="B226:C226"/>
    <mergeCell ref="B227:C227"/>
    <mergeCell ref="B228:C228"/>
    <mergeCell ref="B229:C229"/>
    <mergeCell ref="B230:D230"/>
    <mergeCell ref="A3:B15"/>
    <mergeCell ref="C9:D9"/>
    <mergeCell ref="C11:D11"/>
    <mergeCell ref="C15:D15"/>
    <mergeCell ref="A16:D16"/>
    <mergeCell ref="A131:A132"/>
    <mergeCell ref="B131:C131"/>
    <mergeCell ref="B132:D132"/>
    <mergeCell ref="A133:A134"/>
    <mergeCell ref="B133:C133"/>
    <mergeCell ref="B134:D134"/>
    <mergeCell ref="A107:A130"/>
    <mergeCell ref="B107:B118"/>
    <mergeCell ref="C118:D118"/>
    <mergeCell ref="B119:B129"/>
    <mergeCell ref="C129:D129"/>
    <mergeCell ref="B130:D130"/>
    <mergeCell ref="A1:B1"/>
    <mergeCell ref="A17:A43"/>
    <mergeCell ref="B17:B22"/>
    <mergeCell ref="C22:D22"/>
    <mergeCell ref="B23:B42"/>
    <mergeCell ref="A85:A106"/>
    <mergeCell ref="B85:B96"/>
    <mergeCell ref="C96:D96"/>
    <mergeCell ref="B97:B105"/>
    <mergeCell ref="C105:D105"/>
    <mergeCell ref="B106:D106"/>
    <mergeCell ref="C42:D42"/>
    <mergeCell ref="B43:D43"/>
    <mergeCell ref="A44:A84"/>
    <mergeCell ref="B44:B57"/>
    <mergeCell ref="C57:D57"/>
    <mergeCell ref="B58:B66"/>
    <mergeCell ref="C66:D66"/>
    <mergeCell ref="B67:B73"/>
    <mergeCell ref="C73:D73"/>
    <mergeCell ref="B74:B83"/>
    <mergeCell ref="C83:D83"/>
    <mergeCell ref="B84:D84"/>
    <mergeCell ref="B149:C149"/>
    <mergeCell ref="B150:C150"/>
    <mergeCell ref="B151:C151"/>
    <mergeCell ref="B152:C152"/>
    <mergeCell ref="B153:C153"/>
    <mergeCell ref="A135:A136"/>
    <mergeCell ref="B135:C135"/>
    <mergeCell ref="B136:D136"/>
    <mergeCell ref="A137:D137"/>
    <mergeCell ref="A138:A145"/>
    <mergeCell ref="B138:C138"/>
    <mergeCell ref="B140:C140"/>
    <mergeCell ref="B141:C141"/>
    <mergeCell ref="B142:C142"/>
    <mergeCell ref="B143:C143"/>
    <mergeCell ref="B144:C144"/>
    <mergeCell ref="B145:D145"/>
    <mergeCell ref="B139:C139"/>
    <mergeCell ref="A146:A154"/>
    <mergeCell ref="B146:C146"/>
    <mergeCell ref="B147:C147"/>
    <mergeCell ref="B148:C148"/>
    <mergeCell ref="A163:A164"/>
    <mergeCell ref="B163:C163"/>
    <mergeCell ref="B164:D164"/>
    <mergeCell ref="A165:A166"/>
    <mergeCell ref="B165:C165"/>
    <mergeCell ref="B166:D166"/>
    <mergeCell ref="B154:D154"/>
    <mergeCell ref="A155:A156"/>
    <mergeCell ref="B156:D156"/>
    <mergeCell ref="A157:A162"/>
    <mergeCell ref="B157:C157"/>
    <mergeCell ref="B158:C158"/>
    <mergeCell ref="B159:C159"/>
    <mergeCell ref="B160:C160"/>
    <mergeCell ref="B161:C161"/>
    <mergeCell ref="B162:D162"/>
    <mergeCell ref="A167:D167"/>
    <mergeCell ref="A168:D168"/>
    <mergeCell ref="A171:A224"/>
    <mergeCell ref="B171:B174"/>
    <mergeCell ref="C174:D174"/>
    <mergeCell ref="B175:B187"/>
    <mergeCell ref="C187:D187"/>
    <mergeCell ref="B188:B196"/>
    <mergeCell ref="C196:D196"/>
    <mergeCell ref="B197:B211"/>
    <mergeCell ref="C211:D211"/>
    <mergeCell ref="B212:B223"/>
    <mergeCell ref="C223:D223"/>
    <mergeCell ref="B224:D224"/>
    <mergeCell ref="A237:A242"/>
    <mergeCell ref="B237:C237"/>
    <mergeCell ref="B238:C238"/>
    <mergeCell ref="B239:C239"/>
    <mergeCell ref="B240:C240"/>
    <mergeCell ref="B241:C241"/>
    <mergeCell ref="B242:D242"/>
    <mergeCell ref="A231:A236"/>
    <mergeCell ref="B231:C231"/>
    <mergeCell ref="B232:C232"/>
    <mergeCell ref="B233:C233"/>
    <mergeCell ref="B234:C234"/>
    <mergeCell ref="B235:C235"/>
    <mergeCell ref="B236:D236"/>
    <mergeCell ref="A251:A256"/>
    <mergeCell ref="B251:C251"/>
    <mergeCell ref="B252:C252"/>
    <mergeCell ref="B253:C253"/>
    <mergeCell ref="B254:C254"/>
    <mergeCell ref="B255:C255"/>
    <mergeCell ref="B256:D256"/>
    <mergeCell ref="A243:A244"/>
    <mergeCell ref="B243:C243"/>
    <mergeCell ref="B244:D244"/>
    <mergeCell ref="A245:A250"/>
    <mergeCell ref="B245:C245"/>
    <mergeCell ref="B246:C246"/>
    <mergeCell ref="B247:C247"/>
    <mergeCell ref="B248:C248"/>
    <mergeCell ref="B249:C249"/>
    <mergeCell ref="B250:D250"/>
    <mergeCell ref="A263:A264"/>
    <mergeCell ref="B263:C263"/>
    <mergeCell ref="B264:D264"/>
    <mergeCell ref="A265:A266"/>
    <mergeCell ref="B265:C265"/>
    <mergeCell ref="B266:D266"/>
    <mergeCell ref="A257:A262"/>
    <mergeCell ref="B257:C257"/>
    <mergeCell ref="B258:C258"/>
    <mergeCell ref="B259:C259"/>
    <mergeCell ref="B260:C260"/>
    <mergeCell ref="B261:C261"/>
    <mergeCell ref="B262:D262"/>
    <mergeCell ref="A272:D272"/>
    <mergeCell ref="A273:A275"/>
    <mergeCell ref="B273:C273"/>
    <mergeCell ref="B274:D274"/>
    <mergeCell ref="B275:D275"/>
    <mergeCell ref="A267:A271"/>
    <mergeCell ref="B267:C267"/>
    <mergeCell ref="B268:C268"/>
    <mergeCell ref="B269:C269"/>
    <mergeCell ref="B270:C270"/>
    <mergeCell ref="B271:D271"/>
    <mergeCell ref="A281:A287"/>
    <mergeCell ref="B281:C281"/>
    <mergeCell ref="B282:C282"/>
    <mergeCell ref="B283:C283"/>
    <mergeCell ref="B284:C284"/>
    <mergeCell ref="B285:C285"/>
    <mergeCell ref="B286:D286"/>
    <mergeCell ref="B287:D287"/>
    <mergeCell ref="A276:A280"/>
    <mergeCell ref="B276:C276"/>
    <mergeCell ref="B277:C277"/>
    <mergeCell ref="B278:C278"/>
    <mergeCell ref="B279:D279"/>
    <mergeCell ref="B280:D280"/>
    <mergeCell ref="A300:A301"/>
    <mergeCell ref="B300:C300"/>
    <mergeCell ref="B301:D301"/>
    <mergeCell ref="A302:D302"/>
    <mergeCell ref="A288:A290"/>
    <mergeCell ref="B288:C288"/>
    <mergeCell ref="B289:D289"/>
    <mergeCell ref="B290:D290"/>
    <mergeCell ref="A291:A299"/>
    <mergeCell ref="B291:C291"/>
    <mergeCell ref="B292:C292"/>
    <mergeCell ref="B293:C293"/>
    <mergeCell ref="B294:C294"/>
    <mergeCell ref="B295:C295"/>
    <mergeCell ref="B296:C296"/>
    <mergeCell ref="B297:C297"/>
    <mergeCell ref="B298:D298"/>
    <mergeCell ref="B299:D299"/>
  </mergeCells>
  <pageMargins left="0.7" right="0.7" top="0.75" bottom="0.75" header="0.3" footer="0.3"/>
  <pageSetup scale="59" fitToHeight="7" orientation="landscape" horizontalDpi="1200" verticalDpi="1200" r:id="rId1"/>
  <headerFooter>
    <oddHeader>&amp;C&amp;A</oddHead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workbookViewId="0"/>
  </sheetViews>
  <sheetFormatPr defaultRowHeight="15"/>
  <cols>
    <col min="2" max="2" width="21.85546875" bestFit="1" customWidth="1"/>
    <col min="3" max="3" width="56.42578125" bestFit="1" customWidth="1"/>
    <col min="4" max="4" width="11" customWidth="1"/>
    <col min="5" max="5" width="13.5703125" customWidth="1"/>
    <col min="6" max="6" width="17.140625" customWidth="1"/>
    <col min="7" max="7" width="13.5703125" customWidth="1"/>
    <col min="8" max="8" width="15.140625" customWidth="1"/>
    <col min="9" max="9" width="13.85546875" customWidth="1"/>
  </cols>
  <sheetData>
    <row r="1" spans="2:9" ht="16.5" thickBot="1">
      <c r="B1" t="s">
        <v>78</v>
      </c>
      <c r="C1" t="s">
        <v>79</v>
      </c>
      <c r="D1" t="s">
        <v>76</v>
      </c>
      <c r="E1" s="24" t="s">
        <v>71</v>
      </c>
      <c r="F1" s="24" t="s">
        <v>73</v>
      </c>
      <c r="G1" s="24" t="s">
        <v>74</v>
      </c>
      <c r="H1" s="24" t="s">
        <v>75</v>
      </c>
      <c r="I1" t="s">
        <v>77</v>
      </c>
    </row>
    <row r="2" spans="2:9">
      <c r="B2" t="s">
        <v>80</v>
      </c>
      <c r="C2" t="s">
        <v>81</v>
      </c>
      <c r="D2" t="s">
        <v>82</v>
      </c>
      <c r="E2">
        <v>0</v>
      </c>
      <c r="F2">
        <v>0.1</v>
      </c>
      <c r="G2">
        <v>0.5</v>
      </c>
      <c r="H2">
        <v>0.4</v>
      </c>
      <c r="I2">
        <f>SUM(Table1[[#This Row],[Schedule X]:[Schedule X4]])</f>
        <v>1</v>
      </c>
    </row>
    <row r="3" spans="2:9">
      <c r="I3">
        <f>SUM(Table1[[#This Row],[Schedule X]:[Schedule X4]])</f>
        <v>0</v>
      </c>
    </row>
    <row r="4" spans="2:9">
      <c r="I4">
        <f>SUM(Table1[[#This Row],[Schedule X]:[Schedule X4]])</f>
        <v>0</v>
      </c>
    </row>
    <row r="5" spans="2:9">
      <c r="I5">
        <f>SUM(Table1[[#This Row],[Schedule X]:[Schedule X4]])</f>
        <v>0</v>
      </c>
    </row>
    <row r="6" spans="2:9">
      <c r="I6">
        <f>SUM(Table1[[#This Row],[Schedule X]:[Schedule X4]])</f>
        <v>0</v>
      </c>
    </row>
    <row r="7" spans="2:9">
      <c r="I7">
        <f>SUM(Table1[[#This Row],[Schedule X]:[Schedule X4]])</f>
        <v>0</v>
      </c>
    </row>
    <row r="8" spans="2:9">
      <c r="I8">
        <f>SUM(Table1[[#This Row],[Schedule X]:[Schedule X4]])</f>
        <v>0</v>
      </c>
    </row>
    <row r="9" spans="2:9">
      <c r="I9">
        <f>SUM(Table1[[#This Row],[Schedule X]:[Schedule X4]])</f>
        <v>0</v>
      </c>
    </row>
    <row r="10" spans="2:9">
      <c r="I10">
        <f>SUM(Table1[[#This Row],[Schedule X]:[Schedule X4]])</f>
        <v>0</v>
      </c>
    </row>
    <row r="11" spans="2:9">
      <c r="I11">
        <f>SUM(Table1[[#This Row],[Schedule X]:[Schedule X4]])</f>
        <v>0</v>
      </c>
    </row>
    <row r="12" spans="2:9">
      <c r="I12">
        <f>SUM(Table1[[#This Row],[Schedule X]:[Schedule X4]])</f>
        <v>0</v>
      </c>
    </row>
    <row r="13" spans="2:9">
      <c r="I13">
        <f>SUM(Table1[[#This Row],[Schedule X]:[Schedule X4]])</f>
        <v>0</v>
      </c>
    </row>
    <row r="14" spans="2:9">
      <c r="I14">
        <f>SUM(Table1[[#This Row],[Schedule X]:[Schedule X4]])</f>
        <v>0</v>
      </c>
    </row>
    <row r="15" spans="2:9">
      <c r="I15">
        <f>SUM(Table1[[#This Row],[Schedule X]:[Schedule X4]])</f>
        <v>0</v>
      </c>
    </row>
    <row r="16" spans="2:9">
      <c r="I16">
        <f>SUM(Table1[[#This Row],[Schedule X]:[Schedule X4]])</f>
        <v>0</v>
      </c>
    </row>
    <row r="17" spans="9:9">
      <c r="I17">
        <f>SUM(Table1[[#This Row],[Schedule X]:[Schedule X4]])</f>
        <v>0</v>
      </c>
    </row>
    <row r="18" spans="9:9">
      <c r="I18">
        <f>SUM(Table1[[#This Row],[Schedule X]:[Schedule X4]])</f>
        <v>0</v>
      </c>
    </row>
    <row r="19" spans="9:9">
      <c r="I19">
        <f>SUM(Table1[[#This Row],[Schedule X]:[Schedule X4]])</f>
        <v>0</v>
      </c>
    </row>
    <row r="20" spans="9:9">
      <c r="I20">
        <f>SUM(Table1[[#This Row],[Schedule X]:[Schedule X4]])</f>
        <v>0</v>
      </c>
    </row>
    <row r="21" spans="9:9">
      <c r="I21">
        <f>SUM(Table1[[#This Row],[Schedule X]:[Schedule X4]])</f>
        <v>0</v>
      </c>
    </row>
    <row r="22" spans="9:9">
      <c r="I22">
        <f>SUM(Table1[[#This Row],[Schedule X]:[Schedule X4]])</f>
        <v>0</v>
      </c>
    </row>
    <row r="23" spans="9:9">
      <c r="I23">
        <f>SUM(Table1[[#This Row],[Schedule X]:[Schedule X4]])</f>
        <v>0</v>
      </c>
    </row>
    <row r="24" spans="9:9">
      <c r="I24">
        <f>SUM(Table1[[#This Row],[Schedule X]:[Schedule X4]])</f>
        <v>0</v>
      </c>
    </row>
    <row r="25" spans="9:9">
      <c r="I25">
        <f>SUM(Table1[[#This Row],[Schedule X]:[Schedule X4]])</f>
        <v>0</v>
      </c>
    </row>
    <row r="26" spans="9:9">
      <c r="I26">
        <f>SUM(Table1[[#This Row],[Schedule X]:[Schedule X4]])</f>
        <v>0</v>
      </c>
    </row>
    <row r="27" spans="9:9">
      <c r="I27">
        <f>SUM(Table1[[#This Row],[Schedule X]:[Schedule X4]])</f>
        <v>0</v>
      </c>
    </row>
    <row r="28" spans="9:9">
      <c r="I28">
        <f>SUM(Table1[[#This Row],[Schedule X]:[Schedule X4]])</f>
        <v>0</v>
      </c>
    </row>
    <row r="29" spans="9:9">
      <c r="I29">
        <f>SUM(Table1[[#This Row],[Schedule X]:[Schedule X4]])</f>
        <v>0</v>
      </c>
    </row>
    <row r="30" spans="9:9">
      <c r="I30">
        <f>SUM(Table1[[#This Row],[Schedule X]:[Schedule X4]])</f>
        <v>0</v>
      </c>
    </row>
    <row r="31" spans="9:9">
      <c r="I31">
        <f>SUM(Table1[[#This Row],[Schedule X]:[Schedule X4]])</f>
        <v>0</v>
      </c>
    </row>
    <row r="32" spans="9:9">
      <c r="I32">
        <f>SUM(Table1[[#This Row],[Schedule X]:[Schedule X4]])</f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workbookViewId="0">
      <selection activeCell="H11" sqref="H11"/>
    </sheetView>
  </sheetViews>
  <sheetFormatPr defaultRowHeight="15"/>
  <cols>
    <col min="1" max="1" width="56.42578125" bestFit="1" customWidth="1"/>
    <col min="2" max="2" width="14.7109375" customWidth="1"/>
    <col min="3" max="3" width="14.42578125" customWidth="1"/>
    <col min="4" max="4" width="12.7109375" customWidth="1"/>
    <col min="5" max="5" width="14.140625" customWidth="1"/>
    <col min="6" max="6" width="15.42578125" style="135" customWidth="1"/>
    <col min="7" max="7" width="15.28515625" bestFit="1" customWidth="1"/>
  </cols>
  <sheetData>
    <row r="1" spans="1:7" ht="32.25" thickBot="1">
      <c r="A1" s="28" t="s">
        <v>83</v>
      </c>
      <c r="B1" s="24" t="s">
        <v>71</v>
      </c>
      <c r="C1" s="24" t="s">
        <v>73</v>
      </c>
      <c r="D1" s="24" t="s">
        <v>74</v>
      </c>
      <c r="E1" s="24" t="s">
        <v>75</v>
      </c>
      <c r="F1" s="125" t="s">
        <v>369</v>
      </c>
      <c r="G1" s="246"/>
    </row>
    <row r="2" spans="1:7">
      <c r="A2" s="29" t="s">
        <v>84</v>
      </c>
      <c r="B2" s="29">
        <v>0.6</v>
      </c>
      <c r="C2" s="29">
        <v>1.5</v>
      </c>
      <c r="D2" s="29">
        <v>0.8</v>
      </c>
      <c r="E2" s="29">
        <v>1.2</v>
      </c>
      <c r="F2" s="124"/>
    </row>
    <row r="3" spans="1:7">
      <c r="F3" s="124"/>
    </row>
    <row r="4" spans="1:7">
      <c r="A4" s="124" t="s">
        <v>358</v>
      </c>
      <c r="B4" s="126">
        <f>'C-COS results'!E302</f>
        <v>321257220.76589602</v>
      </c>
      <c r="C4" s="126">
        <f>'C-COS results'!F302</f>
        <v>59244238.4495937</v>
      </c>
      <c r="D4" s="126">
        <f>'C-COS results'!G302</f>
        <v>769068.71472352813</v>
      </c>
      <c r="E4" s="126">
        <f>'C-COS results'!H302</f>
        <v>17720471.848506097</v>
      </c>
      <c r="F4" s="132">
        <f>SUM(B4:E4)</f>
        <v>398990999.77871937</v>
      </c>
    </row>
    <row r="5" spans="1:7">
      <c r="A5" s="124" t="s">
        <v>372</v>
      </c>
      <c r="B5" s="133">
        <f>F5</f>
        <v>7.5197184940611894E-2</v>
      </c>
      <c r="C5" s="133">
        <f>F5</f>
        <v>7.5197184940611894E-2</v>
      </c>
      <c r="D5" s="133">
        <f>F5</f>
        <v>7.5197184940611894E-2</v>
      </c>
      <c r="E5" s="133">
        <f>F5</f>
        <v>7.5197184940611894E-2</v>
      </c>
      <c r="F5" s="133">
        <f>30003000/F4</f>
        <v>7.5197184940611894E-2</v>
      </c>
    </row>
    <row r="6" spans="1:7">
      <c r="A6" s="124" t="s">
        <v>359</v>
      </c>
      <c r="B6" s="132">
        <f>B4*B5</f>
        <v>24157638.643440068</v>
      </c>
      <c r="C6" s="132">
        <f t="shared" ref="C6:E6" si="0">C4*C5</f>
        <v>4454999.9553598072</v>
      </c>
      <c r="D6" s="132">
        <f t="shared" si="0"/>
        <v>57831.802373103834</v>
      </c>
      <c r="E6" s="132">
        <f t="shared" si="0"/>
        <v>1332529.5988270196</v>
      </c>
      <c r="F6" s="132">
        <f t="shared" ref="F6:F12" si="1">SUM(B6:E6)</f>
        <v>30003000</v>
      </c>
      <c r="G6" s="114"/>
    </row>
    <row r="7" spans="1:7">
      <c r="A7" s="124" t="s">
        <v>370</v>
      </c>
      <c r="B7" s="126">
        <f ca="1">'C-COS results'!E167-'C-COS results'!E14-'C-COS results'!E13</f>
        <v>60063477.907934085</v>
      </c>
      <c r="C7" s="126">
        <f ca="1">'C-COS results'!F167-'C-COS results'!F14-'C-COS results'!F13</f>
        <v>9365546.8426223416</v>
      </c>
      <c r="D7" s="126">
        <f ca="1">'C-COS results'!G167-'C-COS results'!G14-'C-COS results'!G13</f>
        <v>115681.99417925059</v>
      </c>
      <c r="E7" s="126">
        <f ca="1">'C-COS results'!H167-'C-COS results'!H14-'C-COS results'!H13</f>
        <v>2207293.2697006138</v>
      </c>
      <c r="F7" s="132">
        <f t="shared" ca="1" si="1"/>
        <v>71752000.01443629</v>
      </c>
      <c r="G7" s="114"/>
    </row>
    <row r="8" spans="1:7">
      <c r="A8" s="124" t="s">
        <v>363</v>
      </c>
      <c r="B8" s="126">
        <f>'C-COS results'!E9+'C-COS results'!E12</f>
        <v>71131816</v>
      </c>
      <c r="C8" s="126">
        <f>'C-COS results'!F9+'C-COS results'!F12</f>
        <v>17418557</v>
      </c>
      <c r="D8" s="126">
        <f>'C-COS results'!G9+'C-COS results'!G12</f>
        <v>201030</v>
      </c>
      <c r="E8" s="126">
        <f>'C-COS results'!H9+'C-COS results'!H12</f>
        <v>3235597</v>
      </c>
      <c r="F8" s="132">
        <f t="shared" si="1"/>
        <v>91987000</v>
      </c>
      <c r="G8" s="114"/>
    </row>
    <row r="9" spans="1:7">
      <c r="A9" s="124" t="s">
        <v>373</v>
      </c>
      <c r="B9" s="126">
        <f ca="1">B8-B7</f>
        <v>11068338.092065915</v>
      </c>
      <c r="C9" s="126">
        <f t="shared" ref="C9:E9" ca="1" si="2">C8-C7</f>
        <v>8053010.1573776584</v>
      </c>
      <c r="D9" s="126">
        <f t="shared" ca="1" si="2"/>
        <v>85348.005820749415</v>
      </c>
      <c r="E9" s="126">
        <f t="shared" ca="1" si="2"/>
        <v>1028303.7302993862</v>
      </c>
      <c r="F9" s="132">
        <f t="shared" ca="1" si="1"/>
        <v>20234999.985563714</v>
      </c>
      <c r="G9" s="114"/>
    </row>
    <row r="10" spans="1:7">
      <c r="A10" s="124" t="s">
        <v>374</v>
      </c>
      <c r="B10" s="126">
        <f ca="1">B6-B9</f>
        <v>13089300.551374152</v>
      </c>
      <c r="C10" s="126">
        <f t="shared" ref="C10:E10" ca="1" si="3">C6-C9</f>
        <v>-3598010.2020178512</v>
      </c>
      <c r="D10" s="126">
        <f t="shared" ca="1" si="3"/>
        <v>-27516.203447645581</v>
      </c>
      <c r="E10" s="126">
        <f t="shared" ca="1" si="3"/>
        <v>304225.86852763337</v>
      </c>
      <c r="F10" s="132">
        <f t="shared" ca="1" si="1"/>
        <v>9768000.0144362897</v>
      </c>
      <c r="G10" s="114"/>
    </row>
    <row r="11" spans="1:7">
      <c r="A11" s="124" t="s">
        <v>360</v>
      </c>
      <c r="B11" s="132">
        <f ca="1">B$10*('B - RR Cross-reference '!$L$167-'B - RR Cross-reference '!$L$158)/('B - RR Cross-reference '!$L$168)</f>
        <v>765150.5543442507</v>
      </c>
      <c r="C11" s="132">
        <f ca="1">C$10*('B - RR Cross-reference '!$L$167-'B - RR Cross-reference '!$L$158)/('B - RR Cross-reference '!$L$168)</f>
        <v>-210325.94444637522</v>
      </c>
      <c r="D11" s="132">
        <f ca="1">D$10*('B - RR Cross-reference '!$L$167-'B - RR Cross-reference '!$L$158)/('B - RR Cross-reference '!$L$168)</f>
        <v>-1608.4922367532379</v>
      </c>
      <c r="E11" s="132">
        <f ca="1">E$10*('B - RR Cross-reference '!$L$167-'B - RR Cross-reference '!$L$158)/('B - RR Cross-reference '!$L$168)</f>
        <v>17783.883182768084</v>
      </c>
      <c r="F11" s="132">
        <f t="shared" ca="1" si="1"/>
        <v>571000.00084389036</v>
      </c>
      <c r="G11" s="114"/>
    </row>
    <row r="12" spans="1:7">
      <c r="A12" s="124" t="s">
        <v>361</v>
      </c>
      <c r="B12" s="132">
        <f ca="1">B$10*'B - RR Cross-reference '!$L$158/'B - RR Cross-reference '!$L$168</f>
        <v>3478687.9843742116</v>
      </c>
      <c r="C12" s="132">
        <f ca="1">C$10*'B - RR Cross-reference '!$L$158/'B - RR Cross-reference '!$L$168</f>
        <v>-956227.9365723118</v>
      </c>
      <c r="D12" s="132">
        <f ca="1">D$10*'B - RR Cross-reference '!$L$158/'B - RR Cross-reference '!$L$168</f>
        <v>-7312.8648802301313</v>
      </c>
      <c r="E12" s="132">
        <f ca="1">E$10*'B - RR Cross-reference '!$L$158/'B - RR Cross-reference '!$L$168</f>
        <v>80852.820915001663</v>
      </c>
      <c r="F12" s="132">
        <f t="shared" ca="1" si="1"/>
        <v>2596000.0038366709</v>
      </c>
    </row>
    <row r="13" spans="1:7">
      <c r="A13" s="124" t="s">
        <v>362</v>
      </c>
      <c r="B13" s="132">
        <f ca="1">B6+B7+B11+B12</f>
        <v>88464955.090092614</v>
      </c>
      <c r="C13" s="132">
        <f t="shared" ref="C13:E13" ca="1" si="4">C6+C7+C11+C12</f>
        <v>12653992.916963462</v>
      </c>
      <c r="D13" s="132">
        <f t="shared" ca="1" si="4"/>
        <v>164592.43943537105</v>
      </c>
      <c r="E13" s="132">
        <f t="shared" ca="1" si="4"/>
        <v>3638459.5726254028</v>
      </c>
      <c r="F13" s="132">
        <f t="shared" ref="F13" ca="1" si="5">SUM(B13:E13)</f>
        <v>104922000.01911685</v>
      </c>
    </row>
    <row r="14" spans="1:7">
      <c r="A14" s="124"/>
      <c r="B14" s="124"/>
      <c r="C14" s="124"/>
      <c r="D14" s="124"/>
      <c r="E14" s="124"/>
      <c r="F14" s="124"/>
    </row>
    <row r="15" spans="1:7">
      <c r="A15" s="124" t="s">
        <v>364</v>
      </c>
      <c r="B15" s="134">
        <f ca="1">B8/B13</f>
        <v>0.80406773425204858</v>
      </c>
      <c r="C15" s="134">
        <f ca="1">C8/C13</f>
        <v>1.3765265331110899</v>
      </c>
      <c r="D15" s="134">
        <f ca="1">D8/D13</f>
        <v>1.2213805244616751</v>
      </c>
      <c r="E15" s="134">
        <f ca="1">E8/E13</f>
        <v>0.88927661154835658</v>
      </c>
      <c r="F15" s="134">
        <f ca="1">F8/F13</f>
        <v>0.87671794269304737</v>
      </c>
    </row>
    <row r="16" spans="1:7">
      <c r="A16" s="124" t="s">
        <v>365</v>
      </c>
      <c r="B16" s="134">
        <f ca="1">B15/$F15</f>
        <v>0.91713388662055162</v>
      </c>
      <c r="C16" s="134">
        <f t="shared" ref="C16:F16" ca="1" si="6">C15/$F15</f>
        <v>1.5700905229369</v>
      </c>
      <c r="D16" s="134">
        <f t="shared" ca="1" si="6"/>
        <v>1.3931282399786582</v>
      </c>
      <c r="E16" s="134">
        <f t="shared" ca="1" si="6"/>
        <v>1.0143246399369132</v>
      </c>
      <c r="F16" s="134">
        <f t="shared" ca="1" si="6"/>
        <v>1</v>
      </c>
    </row>
    <row r="17" spans="1:7">
      <c r="A17" s="124"/>
      <c r="B17" s="124"/>
      <c r="C17" s="124"/>
      <c r="D17" s="124"/>
      <c r="E17" s="124"/>
      <c r="F17" s="124"/>
    </row>
    <row r="18" spans="1:7">
      <c r="A18" s="124" t="s">
        <v>371</v>
      </c>
      <c r="B18" s="126">
        <v>10003000</v>
      </c>
      <c r="C18" s="126">
        <v>2449000</v>
      </c>
      <c r="D18" s="126">
        <v>28000</v>
      </c>
      <c r="E18" s="126">
        <v>455000</v>
      </c>
      <c r="F18" s="132">
        <f>SUM(B18:E18)</f>
        <v>12935000</v>
      </c>
    </row>
    <row r="19" spans="1:7">
      <c r="A19" s="124"/>
      <c r="B19" s="124"/>
      <c r="C19" s="124"/>
      <c r="D19" s="124"/>
      <c r="E19" s="124"/>
      <c r="F19" s="124"/>
    </row>
    <row r="20" spans="1:7">
      <c r="A20" s="124" t="s">
        <v>366</v>
      </c>
      <c r="B20" s="132">
        <f>B8+B18</f>
        <v>81134816</v>
      </c>
      <c r="C20" s="132">
        <f>C8+C18</f>
        <v>19867557</v>
      </c>
      <c r="D20" s="132">
        <f>D8+D18</f>
        <v>229030</v>
      </c>
      <c r="E20" s="132">
        <f>E8+E18</f>
        <v>3690597</v>
      </c>
      <c r="F20" s="132">
        <f>SUM(B20:E20)</f>
        <v>104922000</v>
      </c>
    </row>
    <row r="21" spans="1:7">
      <c r="A21" s="124" t="s">
        <v>375</v>
      </c>
      <c r="B21" s="132">
        <f ca="1">B20-B13</f>
        <v>-7330139.0900926143</v>
      </c>
      <c r="C21" s="132">
        <f t="shared" ref="C21:E21" ca="1" si="7">C20-C13</f>
        <v>7213564.0830365382</v>
      </c>
      <c r="D21" s="132">
        <f t="shared" ca="1" si="7"/>
        <v>64437.560564628948</v>
      </c>
      <c r="E21" s="132">
        <f t="shared" ca="1" si="7"/>
        <v>52137.427374597173</v>
      </c>
      <c r="F21" s="132">
        <f ca="1">SUM(B21:E21)</f>
        <v>-1.9116849958663806E-2</v>
      </c>
    </row>
    <row r="22" spans="1:7">
      <c r="A22" s="124"/>
      <c r="B22" s="124"/>
      <c r="C22" s="124"/>
      <c r="D22" s="124"/>
      <c r="E22" s="124"/>
      <c r="F22" s="124"/>
    </row>
    <row r="23" spans="1:7">
      <c r="A23" s="124" t="s">
        <v>367</v>
      </c>
      <c r="B23" s="134">
        <f ca="1">B20/B13</f>
        <v>0.91714075836439857</v>
      </c>
      <c r="C23" s="134">
        <f ca="1">C20/C13</f>
        <v>1.5700622823461761</v>
      </c>
      <c r="D23" s="134">
        <f ca="1">D20/D13</f>
        <v>1.3914976944608142</v>
      </c>
      <c r="E23" s="134">
        <f ca="1">E20/E13</f>
        <v>1.0143295332362252</v>
      </c>
      <c r="F23" s="134">
        <f ca="1">F20/F13</f>
        <v>0.99999999981779941</v>
      </c>
    </row>
    <row r="24" spans="1:7">
      <c r="A24" s="124" t="s">
        <v>368</v>
      </c>
      <c r="B24" s="134">
        <f ca="1">B23/$F23</f>
        <v>0.91714075853150212</v>
      </c>
      <c r="C24" s="134">
        <f t="shared" ref="C24:F24" ca="1" si="8">C23/$F23</f>
        <v>1.5700622826322423</v>
      </c>
      <c r="D24" s="134">
        <f t="shared" ca="1" si="8"/>
        <v>1.3914976947143458</v>
      </c>
      <c r="E24" s="134">
        <f t="shared" ca="1" si="8"/>
        <v>1.0143295334210367</v>
      </c>
      <c r="F24" s="134">
        <f t="shared" ca="1" si="8"/>
        <v>1</v>
      </c>
    </row>
    <row r="25" spans="1:7">
      <c r="A25" s="124"/>
      <c r="B25" s="124"/>
      <c r="C25" s="124"/>
      <c r="D25" s="124"/>
      <c r="E25" s="124"/>
      <c r="F25" s="124"/>
    </row>
    <row r="27" spans="1:7">
      <c r="A27" t="s">
        <v>379</v>
      </c>
      <c r="B27" s="136">
        <v>88034807</v>
      </c>
      <c r="C27" s="136">
        <v>13069291</v>
      </c>
      <c r="D27" s="136">
        <v>168410</v>
      </c>
      <c r="E27" s="136">
        <v>3649492</v>
      </c>
      <c r="F27" s="137">
        <f>SUM(B27:E27)</f>
        <v>104922000</v>
      </c>
    </row>
    <row r="28" spans="1:7">
      <c r="A28" s="135" t="s">
        <v>376</v>
      </c>
      <c r="B28" s="114">
        <f ca="1">B13-B27</f>
        <v>430148.09009261429</v>
      </c>
      <c r="C28" s="114">
        <f t="shared" ref="C28:E28" ca="1" si="9">C13-C27</f>
        <v>-415298.08303653821</v>
      </c>
      <c r="D28" s="114">
        <f t="shared" ca="1" si="9"/>
        <v>-3817.5605646289478</v>
      </c>
      <c r="E28" s="114">
        <f t="shared" ca="1" si="9"/>
        <v>-11032.427374597173</v>
      </c>
      <c r="F28" s="137">
        <f ca="1">SUM(B28:E28)</f>
        <v>1.9116849958663806E-2</v>
      </c>
    </row>
    <row r="29" spans="1:7">
      <c r="A29" s="135" t="s">
        <v>377</v>
      </c>
    </row>
    <row r="30" spans="1:7">
      <c r="B30" s="138">
        <f ca="1">B28/B27</f>
        <v>4.886113853723951E-3</v>
      </c>
      <c r="C30" s="138">
        <f ca="1">C28/C27</f>
        <v>-3.1776634481284274E-2</v>
      </c>
      <c r="D30" s="138">
        <f ca="1">D28/D27</f>
        <v>-2.2668253456617469E-2</v>
      </c>
      <c r="E30" s="138">
        <f ca="1">E28/E27</f>
        <v>-3.0230035781958621E-3</v>
      </c>
      <c r="F30" s="138">
        <f ca="1">F28/F27</f>
        <v>1.8220058670882949E-10</v>
      </c>
      <c r="G30" s="135"/>
    </row>
    <row r="31" spans="1:7">
      <c r="B31" s="135"/>
      <c r="C31" s="135"/>
      <c r="D31" s="135"/>
      <c r="E31" s="135"/>
      <c r="G31" s="135"/>
    </row>
    <row r="32" spans="1:7">
      <c r="B32" s="137"/>
      <c r="C32" s="137"/>
      <c r="D32" s="137"/>
      <c r="E32" s="137"/>
      <c r="F32" s="137"/>
      <c r="G32" s="135"/>
    </row>
  </sheetData>
  <pageMargins left="0.7" right="0.7" top="0.75" bottom="0.75" header="0.3" footer="0.3"/>
  <pageSetup scale="95" orientation="landscape" r:id="rId1"/>
  <headerFooter>
    <oddHeader>&amp;C&amp;A</oddHeader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C61E7120A6E844987769BD5AE4235A1" ma:contentTypeVersion="104" ma:contentTypeDescription="" ma:contentTypeScope="" ma:versionID="8ddd6be1c619f9ad5a8d32551dcc5094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4ccd4140794adb7bccf17b21b5812a9d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Comment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Rulemaking</CaseType>
    <IndustryCode xmlns="dc463f71-b30c-4ab2-9473-d307f9d35888">140</IndustryCode>
    <CaseStatus xmlns="dc463f71-b30c-4ab2-9473-d307f9d35888">Closed</CaseStatus>
    <OpenedDate xmlns="dc463f71-b30c-4ab2-9473-d307f9d35888">2017-01-03T08:00:00+00:00</OpenedDate>
    <SignificantOrder xmlns="dc463f71-b30c-4ab2-9473-d307f9d35888">false</SignificantOrder>
    <Date1 xmlns="dc463f71-b30c-4ab2-9473-d307f9d35888">2019-12-06T08:00:00+00:00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170002</DocketNumber>
    <DelegatedOrder xmlns="dc463f71-b30c-4ab2-9473-d307f9d35888">false</DelegatedOr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C61E7120A6E844987769BD5AE4235A1" ma:contentTypeVersion="48" ma:contentTypeDescription="" ma:contentTypeScope="" ma:versionID="3fa809ab3d97de3f8be65816b52dbee8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a439ac3c58959fc63fff0ade57293d1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2:IsEFSEC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8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>
      <xsd:simpleType>
        <xsd:restriction base="dms:Choice">
          <xsd:enumeration value="Full Visibility"/>
          <xsd:enumeration value="Internal Only"/>
        </xsd:restriction>
      </xsd:simpleType>
    </xsd:element>
    <xsd:element name="IsEFSEC" ma:index="17" nillable="true" ma:displayName="IsEFSEC" ma:default="0" ma:internalName="IsEFSEC">
      <xsd:simpleType>
        <xsd:restriction base="dms:Boolean"/>
      </xsd:simpleType>
    </xsd:element>
    <xsd:element name="SignificantOrder" ma:index="25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1af0c028-e016-4365-948e-cc2e26d65303" ContentTypeId="0x0101006E56B4D1795A2E4DB2F0B01679ED314A" PreviousValue="true"/>
</file>

<file path=customXml/itemProps1.xml><?xml version="1.0" encoding="utf-8"?>
<ds:datastoreItem xmlns:ds="http://schemas.openxmlformats.org/officeDocument/2006/customXml" ds:itemID="{88472C9B-59E4-4957-A2F6-0B38A3298E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33AB6B-0DDC-4624-9FB7-0FB0E0DB9760}"/>
</file>

<file path=customXml/itemProps3.xml><?xml version="1.0" encoding="utf-8"?>
<ds:datastoreItem xmlns:ds="http://schemas.openxmlformats.org/officeDocument/2006/customXml" ds:itemID="{444A39B1-9C85-40A7-9048-547ED1F67BB0}">
  <ds:schemaRefs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D9D1A83-45A0-4F7B-9126-C1BD257517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c463f71-b30c-4ab2-9473-d307f9d358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76EF2FE-B4D4-4008-AA3A-FEA4343AD2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</vt:lpstr>
      <vt:lpstr>A - Company RR</vt:lpstr>
      <vt:lpstr>B - RR Cross-reference </vt:lpstr>
      <vt:lpstr>C-COS results</vt:lpstr>
      <vt:lpstr>D-COS allocation factors</vt:lpstr>
      <vt:lpstr>E-COS parity ratios</vt:lpstr>
      <vt:lpstr>'C-COS results'!Print_Area</vt:lpstr>
      <vt:lpstr>Cover!Print_Area</vt:lpstr>
      <vt:lpstr>'B - RR Cross-reference '!Print_Titles</vt:lpstr>
      <vt:lpstr>'C-COS results'!Print_Titles</vt:lpstr>
    </vt:vector>
  </TitlesOfParts>
  <Company>Washington Utilities and Transportation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O'Connell, Elizabeth (UTC)</dc:creator>
  <cp:lastModifiedBy>Knox, Tara</cp:lastModifiedBy>
  <cp:lastPrinted>2019-11-21T00:31:47Z</cp:lastPrinted>
  <dcterms:created xsi:type="dcterms:W3CDTF">2019-01-18T22:54:04Z</dcterms:created>
  <dcterms:modified xsi:type="dcterms:W3CDTF">2019-12-03T00:19:04Z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0x0101006E56B4D1795A2E4DB2F0B01679ED314A002C61E7120A6E844987769BD5AE4235A1</vt:lpwstr>
  </property>
  <property fmtid="{D5CDD505-2E9C-101B-9397-08002B2CF9AE}" pid="3" name="EfsecDocumentType">
    <vt:lpwstr>Documents</vt:lpwstr>
  </property>
  <property fmtid="{D5CDD505-2E9C-101B-9397-08002B2CF9AE}" pid="4" name="IsOfficialRecord">
    <vt:bool>false</vt:bool>
  </property>
  <property fmtid="{D5CDD505-2E9C-101B-9397-08002B2CF9AE}" pid="5" name="IsVisibleToEfsecCouncil">
    <vt:bool>false</vt:bool>
  </property>
  <property fmtid="{D5CDD505-2E9C-101B-9397-08002B2CF9AE}" pid="6" name="_docset_NoMedatataSyncRequired">
    <vt:lpwstr>False</vt:lpwstr>
  </property>
  <property fmtid="{D5CDD505-2E9C-101B-9397-08002B2CF9AE}" pid="7" name="IsEFSEC">
    <vt:bool>false</vt:bool>
  </property>
</Properties>
</file>