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ket notes\UE-150204 UG-150205 Avista GRC\Workpaper drafts\"/>
    </mc:Choice>
  </mc:AlternateContent>
  <bookViews>
    <workbookView xWindow="165" yWindow="60" windowWidth="24825" windowHeight="12300"/>
  </bookViews>
  <sheets>
    <sheet name="G-PCD" sheetId="17" r:id="rId1"/>
    <sheet name="G-PCD-1" sheetId="15" r:id="rId2"/>
  </sheets>
  <definedNames>
    <definedName name="Beg_Bal">#REF!</definedName>
    <definedName name="Beginning_Balance">-FV(Interest_Rate/12,Payment_Number-1,-Monthly_Payment,Loan_Amount)</definedName>
    <definedName name="Cum_Int">#REF!</definedName>
    <definedName name="Data">#REF!</definedName>
    <definedName name="End_Bal">#REF!</definedName>
    <definedName name="Ending_Balance">-FV(Interest_Rate/12,Payment_Number,-Monthly_Payment,Loan_Amount)</definedName>
    <definedName name="Extra_Pay">#REF!</definedName>
    <definedName name="Full_Print">#REF!</definedName>
    <definedName name="Header_Row">ROW(#REF!)</definedName>
    <definedName name="Header_Row_Back">ROW(#REF!)</definedName>
    <definedName name="Int">#REF!</definedName>
    <definedName name="Interest">-IPMT(Interest_Rate/12,Payment_Number,Number_of_Payments,Loan_Amount)</definedName>
    <definedName name="Interest_Rate">#REF!</definedName>
    <definedName name="Last_Row">IF(Values_Entered,Header_Row+Number_of_Payments,Header_Row)</definedName>
    <definedName name="Loan_Amount">#REF!</definedName>
    <definedName name="Loan_Not_Paid">IF(Payment_Number&lt;=Number_of_Payments,1,0)</definedName>
    <definedName name="Loan_Start">#REF!</definedName>
    <definedName name="Loan_Years">#REF!</definedName>
    <definedName name="Monthly_Payment">-PMT(Interest_Rate/12,Number_of_Payments,Loan_Amount)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ment_Number">ROW()-Header_Row</definedName>
    <definedName name="Princ">#REF!</definedName>
    <definedName name="Principal">-PPMT(Interest_Rate/12,Payment_Number,Number_of_Payments,Loan_Amount)</definedName>
    <definedName name="_xlnm.Print_Area" localSheetId="1">'G-PCD-1'!$A$1:$X$46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ableName">"Dummy"</definedName>
    <definedName name="Total_Cos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52511" fullPrecision="0"/>
</workbook>
</file>

<file path=xl/calcChain.xml><?xml version="1.0" encoding="utf-8"?>
<calcChain xmlns="http://schemas.openxmlformats.org/spreadsheetml/2006/main">
  <c r="U15" i="15" l="1"/>
  <c r="T15" i="15"/>
  <c r="V19" i="15"/>
  <c r="X19" i="15"/>
  <c r="U36" i="15" l="1"/>
  <c r="T36" i="15"/>
  <c r="V34" i="15"/>
  <c r="U34" i="15"/>
  <c r="U27" i="15"/>
  <c r="T27" i="15"/>
  <c r="V23" i="15"/>
  <c r="U23" i="15"/>
  <c r="U19" i="15"/>
  <c r="V15" i="15"/>
  <c r="X15" i="15" s="1"/>
  <c r="U8" i="15"/>
  <c r="V8" i="15" s="1"/>
  <c r="X8" i="15" s="1"/>
  <c r="U7" i="15"/>
  <c r="U16" i="15" s="1"/>
  <c r="T7" i="15"/>
  <c r="T17" i="15" s="1"/>
  <c r="X23" i="15"/>
  <c r="X27" i="15"/>
  <c r="X34" i="15"/>
  <c r="X36" i="15"/>
  <c r="T16" i="15" l="1"/>
  <c r="T9" i="15"/>
  <c r="T10" i="15" s="1"/>
  <c r="T11" i="15" s="1"/>
  <c r="T18" i="15"/>
  <c r="U17" i="15"/>
  <c r="V17" i="15" s="1"/>
  <c r="X17" i="15" s="1"/>
  <c r="V7" i="15"/>
  <c r="U9" i="15"/>
  <c r="U10" i="15" s="1"/>
  <c r="V16" i="15"/>
  <c r="X16" i="15" s="1"/>
  <c r="X18" i="15" s="1"/>
  <c r="D15" i="15"/>
  <c r="R29" i="15"/>
  <c r="Q29" i="15"/>
  <c r="D7" i="15"/>
  <c r="D16" i="15" s="1"/>
  <c r="X20" i="15" l="1"/>
  <c r="X33" i="15"/>
  <c r="X35" i="15" s="1"/>
  <c r="X37" i="15" s="1"/>
  <c r="V9" i="15"/>
  <c r="V10" i="15" s="1"/>
  <c r="X7" i="15"/>
  <c r="X9" i="15" s="1"/>
  <c r="X10" i="15" s="1"/>
  <c r="U18" i="15"/>
  <c r="U20" i="15" s="1"/>
  <c r="U33" i="15"/>
  <c r="U35" i="15" s="1"/>
  <c r="U37" i="15" s="1"/>
  <c r="U12" i="15" s="1"/>
  <c r="U11" i="15"/>
  <c r="T33" i="15"/>
  <c r="T35" i="15" s="1"/>
  <c r="T20" i="15"/>
  <c r="V18" i="15"/>
  <c r="H7" i="15"/>
  <c r="E17" i="15"/>
  <c r="F43" i="15"/>
  <c r="Q7" i="15"/>
  <c r="Q17" i="15" s="1"/>
  <c r="P7" i="15"/>
  <c r="P17" i="15" s="1"/>
  <c r="M7" i="15"/>
  <c r="M17" i="15" s="1"/>
  <c r="L7" i="15"/>
  <c r="L17" i="15" s="1"/>
  <c r="I7" i="15"/>
  <c r="I17" i="15" s="1"/>
  <c r="H17" i="15"/>
  <c r="E7" i="15"/>
  <c r="D17" i="15"/>
  <c r="F17" i="15" s="1"/>
  <c r="U13" i="15" l="1"/>
  <c r="U22" i="15" s="1"/>
  <c r="U24" i="15" s="1"/>
  <c r="U29" i="15" s="1"/>
  <c r="V35" i="15"/>
  <c r="T37" i="15"/>
  <c r="V11" i="15"/>
  <c r="X11" i="15" s="1"/>
  <c r="V33" i="15"/>
  <c r="V20" i="15"/>
  <c r="D18" i="15"/>
  <c r="R17" i="15"/>
  <c r="R15" i="15"/>
  <c r="N17" i="15"/>
  <c r="J17" i="15"/>
  <c r="H16" i="15"/>
  <c r="F7" i="15"/>
  <c r="F15" i="15"/>
  <c r="E16" i="15"/>
  <c r="F16" i="15" s="1"/>
  <c r="V37" i="15" l="1"/>
  <c r="T12" i="15"/>
  <c r="F18" i="15"/>
  <c r="E18" i="15"/>
  <c r="V12" i="15" l="1"/>
  <c r="T13" i="15"/>
  <c r="T22" i="15" s="1"/>
  <c r="T24" i="15" s="1"/>
  <c r="T29" i="15" s="1"/>
  <c r="V29" i="15" s="1"/>
  <c r="X29" i="15" s="1"/>
  <c r="Q16" i="15"/>
  <c r="Q18" i="15" s="1"/>
  <c r="Q36" i="15"/>
  <c r="P36" i="15"/>
  <c r="R34" i="15"/>
  <c r="Q34" i="15"/>
  <c r="Q27" i="15"/>
  <c r="P27" i="15"/>
  <c r="Q23" i="15"/>
  <c r="R23" i="15" s="1"/>
  <c r="Q19" i="15"/>
  <c r="R19" i="15" s="1"/>
  <c r="P9" i="15"/>
  <c r="P10" i="15" s="1"/>
  <c r="M36" i="15"/>
  <c r="L36" i="15"/>
  <c r="N34" i="15"/>
  <c r="M34" i="15"/>
  <c r="M27" i="15"/>
  <c r="L27" i="15"/>
  <c r="M23" i="15"/>
  <c r="N23" i="15" s="1"/>
  <c r="N19" i="15"/>
  <c r="M19" i="15"/>
  <c r="I36" i="15"/>
  <c r="H36" i="15"/>
  <c r="J34" i="15"/>
  <c r="I34" i="15"/>
  <c r="I27" i="15"/>
  <c r="H27" i="15"/>
  <c r="I23" i="15"/>
  <c r="J23" i="15" s="1"/>
  <c r="I19" i="15"/>
  <c r="J19" i="15" s="1"/>
  <c r="V13" i="15" l="1"/>
  <c r="V22" i="15" s="1"/>
  <c r="X12" i="15"/>
  <c r="X13" i="15" s="1"/>
  <c r="N15" i="15"/>
  <c r="J15" i="15"/>
  <c r="M16" i="15"/>
  <c r="M18" i="15" s="1"/>
  <c r="P16" i="15"/>
  <c r="I16" i="15"/>
  <c r="J16" i="15" s="1"/>
  <c r="R7" i="15"/>
  <c r="Q33" i="15"/>
  <c r="Q35" i="15" s="1"/>
  <c r="Q37" i="15" s="1"/>
  <c r="Q12" i="15" s="1"/>
  <c r="L9" i="15"/>
  <c r="L10" i="15" s="1"/>
  <c r="L11" i="15" s="1"/>
  <c r="J7" i="15"/>
  <c r="H9" i="15"/>
  <c r="H10" i="15" s="1"/>
  <c r="H11" i="15" s="1"/>
  <c r="P11" i="15"/>
  <c r="Q8" i="15"/>
  <c r="M8" i="15"/>
  <c r="N8" i="15" s="1"/>
  <c r="L16" i="15"/>
  <c r="I8" i="15"/>
  <c r="J8" i="15" s="1"/>
  <c r="H18" i="15"/>
  <c r="E43" i="15"/>
  <c r="E45" i="15" s="1"/>
  <c r="E36" i="15"/>
  <c r="D36" i="15"/>
  <c r="F34" i="15"/>
  <c r="E34" i="15"/>
  <c r="E27" i="15"/>
  <c r="D27" i="15"/>
  <c r="E23" i="15"/>
  <c r="F23" i="15" s="1"/>
  <c r="E19" i="15"/>
  <c r="F19" i="15" s="1"/>
  <c r="F20" i="15" s="1"/>
  <c r="V24" i="15" l="1"/>
  <c r="X22" i="15"/>
  <c r="X24" i="15" s="1"/>
  <c r="J18" i="15"/>
  <c r="J20" i="15" s="1"/>
  <c r="P18" i="15"/>
  <c r="P20" i="15" s="1"/>
  <c r="R16" i="15"/>
  <c r="R18" i="15" s="1"/>
  <c r="R20" i="15" s="1"/>
  <c r="L18" i="15"/>
  <c r="L20" i="15" s="1"/>
  <c r="N16" i="15"/>
  <c r="N7" i="15"/>
  <c r="Q20" i="15"/>
  <c r="I9" i="15"/>
  <c r="I10" i="15" s="1"/>
  <c r="I18" i="15"/>
  <c r="I20" i="15" s="1"/>
  <c r="J33" i="15"/>
  <c r="J9" i="15"/>
  <c r="J10" i="15" s="1"/>
  <c r="Q9" i="15"/>
  <c r="Q10" i="15" s="1"/>
  <c r="R8" i="15"/>
  <c r="M33" i="15"/>
  <c r="M35" i="15" s="1"/>
  <c r="M37" i="15" s="1"/>
  <c r="M12" i="15" s="1"/>
  <c r="M20" i="15"/>
  <c r="L33" i="15"/>
  <c r="L35" i="15" s="1"/>
  <c r="M9" i="15"/>
  <c r="M10" i="15" s="1"/>
  <c r="I11" i="15"/>
  <c r="J11" i="15" s="1"/>
  <c r="H33" i="15"/>
  <c r="H35" i="15" s="1"/>
  <c r="H20" i="15"/>
  <c r="D43" i="15"/>
  <c r="D45" i="15" s="1"/>
  <c r="F45" i="15"/>
  <c r="E8" i="15"/>
  <c r="F8" i="15" s="1"/>
  <c r="F9" i="15" s="1"/>
  <c r="P33" i="15" l="1"/>
  <c r="P35" i="15" s="1"/>
  <c r="P37" i="15" s="1"/>
  <c r="R37" i="15" s="1"/>
  <c r="N18" i="15"/>
  <c r="N33" i="15" s="1"/>
  <c r="R33" i="15"/>
  <c r="R9" i="15"/>
  <c r="R10" i="15" s="1"/>
  <c r="N9" i="15"/>
  <c r="N10" i="15" s="1"/>
  <c r="I33" i="15"/>
  <c r="I35" i="15" s="1"/>
  <c r="I37" i="15" s="1"/>
  <c r="I12" i="15" s="1"/>
  <c r="I13" i="15" s="1"/>
  <c r="I22" i="15" s="1"/>
  <c r="I24" i="15" s="1"/>
  <c r="I29" i="15" s="1"/>
  <c r="Q11" i="15"/>
  <c r="R11" i="15" s="1"/>
  <c r="M11" i="15"/>
  <c r="N11" i="15" s="1"/>
  <c r="L37" i="15"/>
  <c r="N35" i="15"/>
  <c r="H37" i="15"/>
  <c r="E9" i="15"/>
  <c r="E10" i="15" s="1"/>
  <c r="P12" i="15" l="1"/>
  <c r="R12" i="15" s="1"/>
  <c r="R35" i="15"/>
  <c r="N20" i="15"/>
  <c r="D9" i="15"/>
  <c r="D10" i="15" s="1"/>
  <c r="D11" i="15" s="1"/>
  <c r="J35" i="15"/>
  <c r="Q13" i="15"/>
  <c r="Q22" i="15" s="1"/>
  <c r="Q24" i="15" s="1"/>
  <c r="P13" i="15"/>
  <c r="P22" i="15" s="1"/>
  <c r="P24" i="15" s="1"/>
  <c r="P29" i="15" s="1"/>
  <c r="N37" i="15"/>
  <c r="L12" i="15"/>
  <c r="N12" i="15" s="1"/>
  <c r="N13" i="15" s="1"/>
  <c r="N22" i="15" s="1"/>
  <c r="M13" i="15"/>
  <c r="M22" i="15" s="1"/>
  <c r="M24" i="15" s="1"/>
  <c r="M29" i="15" s="1"/>
  <c r="J37" i="15"/>
  <c r="H12" i="15"/>
  <c r="E11" i="15"/>
  <c r="F10" i="15"/>
  <c r="E33" i="15"/>
  <c r="E35" i="15" s="1"/>
  <c r="E37" i="15" s="1"/>
  <c r="E20" i="15"/>
  <c r="F11" i="15" l="1"/>
  <c r="E12" i="15"/>
  <c r="E13" i="15" s="1"/>
  <c r="E22" i="15" s="1"/>
  <c r="R13" i="15"/>
  <c r="R22" i="15" s="1"/>
  <c r="R24" i="15" s="1"/>
  <c r="D20" i="15"/>
  <c r="D33" i="15"/>
  <c r="D35" i="15" s="1"/>
  <c r="D37" i="15" s="1"/>
  <c r="D12" i="15" s="1"/>
  <c r="N24" i="15"/>
  <c r="L13" i="15"/>
  <c r="L22" i="15" s="1"/>
  <c r="J12" i="15"/>
  <c r="J13" i="15" s="1"/>
  <c r="J22" i="15" s="1"/>
  <c r="J24" i="15" s="1"/>
  <c r="H13" i="15"/>
  <c r="H22" i="15" s="1"/>
  <c r="H24" i="15" s="1"/>
  <c r="H29" i="15" s="1"/>
  <c r="J29" i="15" s="1"/>
  <c r="F33" i="15"/>
  <c r="E24" i="15" l="1"/>
  <c r="E29" i="15" s="1"/>
  <c r="D13" i="15"/>
  <c r="F12" i="15"/>
  <c r="F13" i="15" s="1"/>
  <c r="F37" i="15"/>
  <c r="L24" i="15"/>
  <c r="L29" i="15" s="1"/>
  <c r="N29" i="15" s="1"/>
  <c r="F35" i="15"/>
  <c r="D22" i="15" l="1"/>
  <c r="F22" i="15" l="1"/>
  <c r="F24" i="15" s="1"/>
  <c r="D24" i="15"/>
  <c r="D29" i="15" l="1"/>
  <c r="F29" i="15" s="1"/>
  <c r="C10" i="17" l="1"/>
  <c r="G10" i="17" l="1"/>
  <c r="F11" i="17" s="1"/>
  <c r="D11" i="17"/>
  <c r="D12" i="17" l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E11" i="17"/>
  <c r="G11" i="17" s="1"/>
  <c r="F12" i="17" s="1"/>
  <c r="D35" i="17" l="1"/>
  <c r="E12" i="17"/>
  <c r="G12" i="17" s="1"/>
  <c r="F13" i="17" s="1"/>
  <c r="E13" i="17" l="1"/>
  <c r="G13" i="17" l="1"/>
  <c r="F14" i="17" s="1"/>
  <c r="E14" i="17" l="1"/>
  <c r="G14" i="17" l="1"/>
  <c r="F15" i="17" s="1"/>
  <c r="E15" i="17" l="1"/>
  <c r="G15" i="17" l="1"/>
  <c r="F16" i="17" s="1"/>
  <c r="E16" i="17" l="1"/>
  <c r="G16" i="17" l="1"/>
  <c r="F17" i="17" s="1"/>
  <c r="E17" i="17" l="1"/>
  <c r="G17" i="17" s="1"/>
  <c r="F18" i="17" s="1"/>
  <c r="E18" i="17" s="1"/>
  <c r="G18" i="17" s="1"/>
  <c r="F19" i="17" s="1"/>
  <c r="E19" i="17" s="1"/>
  <c r="G19" i="17" s="1"/>
  <c r="F20" i="17" s="1"/>
  <c r="E20" i="17" s="1"/>
  <c r="G20" i="17" s="1"/>
  <c r="F21" i="17" s="1"/>
  <c r="E21" i="17" s="1"/>
  <c r="G21" i="17" s="1"/>
  <c r="F22" i="17" s="1"/>
  <c r="E22" i="17" s="1"/>
  <c r="G22" i="17" s="1"/>
  <c r="G37" i="17" l="1"/>
  <c r="F23" i="17"/>
  <c r="E23" i="17" s="1"/>
  <c r="G23" i="17" s="1"/>
  <c r="F24" i="17" s="1"/>
  <c r="E24" i="17" s="1"/>
  <c r="G24" i="17" s="1"/>
  <c r="F25" i="17" s="1"/>
  <c r="E25" i="17" s="1"/>
  <c r="G25" i="17" s="1"/>
  <c r="F26" i="17" s="1"/>
  <c r="E26" i="17" s="1"/>
  <c r="G26" i="17" s="1"/>
  <c r="F27" i="17" l="1"/>
  <c r="E27" i="17" s="1"/>
  <c r="G27" i="17" s="1"/>
  <c r="F28" i="17" l="1"/>
  <c r="E28" i="17" s="1"/>
  <c r="G28" i="17" s="1"/>
  <c r="F29" i="17" s="1"/>
  <c r="E29" i="17" s="1"/>
  <c r="G29" i="17" s="1"/>
  <c r="F30" i="17" l="1"/>
  <c r="E30" i="17" s="1"/>
  <c r="G30" i="17" s="1"/>
  <c r="F31" i="17" l="1"/>
  <c r="E31" i="17" s="1"/>
  <c r="G31" i="17" s="1"/>
  <c r="F32" i="17" l="1"/>
  <c r="E32" i="17" s="1"/>
  <c r="G32" i="17" s="1"/>
  <c r="F33" i="17" l="1"/>
  <c r="E33" i="17" s="1"/>
  <c r="G33" i="17" s="1"/>
  <c r="F34" i="17" l="1"/>
  <c r="E34" i="17" l="1"/>
  <c r="F35" i="17"/>
  <c r="G34" i="17" l="1"/>
  <c r="E35" i="17"/>
</calcChain>
</file>

<file path=xl/sharedStrings.xml><?xml version="1.0" encoding="utf-8"?>
<sst xmlns="http://schemas.openxmlformats.org/spreadsheetml/2006/main" count="74" uniqueCount="60">
  <si>
    <t>Total</t>
  </si>
  <si>
    <t>Avista Utilities</t>
  </si>
  <si>
    <t>Depreciation Expense</t>
  </si>
  <si>
    <t>Total Expenses</t>
  </si>
  <si>
    <t>Net Operating Income Before FIT</t>
  </si>
  <si>
    <t>FIT Benefit of Depreciation and Property Tax</t>
  </si>
  <si>
    <t xml:space="preserve">   Net Rate Base</t>
  </si>
  <si>
    <t>FIT Benefit of Interest Expense</t>
  </si>
  <si>
    <t xml:space="preserve">   Net Operating Income Requirement</t>
  </si>
  <si>
    <t xml:space="preserve">   Return on Rate Base</t>
  </si>
  <si>
    <t xml:space="preserve">Net Operating Income Requirement including Return </t>
  </si>
  <si>
    <t>Line</t>
  </si>
  <si>
    <t>No.</t>
  </si>
  <si>
    <t>Project Compass</t>
  </si>
  <si>
    <t>Months to Amortize</t>
  </si>
  <si>
    <t>Interest rate</t>
  </si>
  <si>
    <t xml:space="preserve">April </t>
  </si>
  <si>
    <t>WA Natural Gas Revenue Requirement (1)</t>
  </si>
  <si>
    <t>Software (FERC 303100)</t>
  </si>
  <si>
    <t>Hardware (FERC 391100)</t>
  </si>
  <si>
    <t>Property Tax @ 1.5% of Gross Plant, excluding software</t>
  </si>
  <si>
    <t>Net Plant (2)</t>
  </si>
  <si>
    <t>Accumulated Depreciation (AMA)</t>
  </si>
  <si>
    <t>Accumulated DFIT (AMA)</t>
  </si>
  <si>
    <t xml:space="preserve"> Rate of Return</t>
  </si>
  <si>
    <t>WA Natural Gas Conversion Factor</t>
  </si>
  <si>
    <t>Revenue Requirement</t>
  </si>
  <si>
    <t>WA Natural Gas Allocator</t>
  </si>
  <si>
    <t>Revenue Requirement - WA Natural Gas Share (3) (4)</t>
  </si>
  <si>
    <t xml:space="preserve">Tax benefit of debt </t>
  </si>
  <si>
    <t>Net rate base per above</t>
  </si>
  <si>
    <t>Debt cost component</t>
  </si>
  <si>
    <t>Debt cost</t>
  </si>
  <si>
    <t>Federal income tax rate</t>
  </si>
  <si>
    <t>Tax benefit of debt cost</t>
  </si>
  <si>
    <t>Notes:</t>
  </si>
  <si>
    <t>(2) Project Compass Costs include the following:</t>
  </si>
  <si>
    <t>Total Cost</t>
  </si>
  <si>
    <t>Less:  Maximo Project (#09905700) transferred to Plant in Sept. 2013</t>
  </si>
  <si>
    <t>(4)  The carrying charge on the deferral balance will be 3.25%.</t>
  </si>
  <si>
    <t xml:space="preserve">February </t>
  </si>
  <si>
    <t xml:space="preserve">March </t>
  </si>
  <si>
    <t xml:space="preserve">May </t>
  </si>
  <si>
    <t>(1) Information provided based on projected transfers to plant. Amounts will be based on actual costs of the Project at the time the Project goes into service.</t>
  </si>
  <si>
    <t xml:space="preserve">Total </t>
  </si>
  <si>
    <t>G-PCD</t>
  </si>
  <si>
    <t>G-PCD-1</t>
  </si>
  <si>
    <t>G-PCD 4.03</t>
  </si>
  <si>
    <t>Beginning Balance</t>
  </si>
  <si>
    <t>Payment Date</t>
  </si>
  <si>
    <t>Principal</t>
  </si>
  <si>
    <t>Interest</t>
  </si>
  <si>
    <t>Ending Balance</t>
  </si>
  <si>
    <t># of Months</t>
  </si>
  <si>
    <t>Amortization</t>
  </si>
  <si>
    <t>2016  Amortization</t>
  </si>
  <si>
    <t xml:space="preserve">Avista Washington Gas </t>
  </si>
  <si>
    <t>Compass Deferral and Amortization</t>
  </si>
  <si>
    <t>Staff Adjustment</t>
  </si>
  <si>
    <t>Staff 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</si>
</sst>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_(* #,##0.00000_);_(* \(#,##0.00000\);_(* &quot;-&quot;??_);_(@_)"/>
    <numFmt numFmtId="168" formatCode="0.000%"/>
    <numFmt numFmtId="169" formatCode="&quot;$&quot;#,##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11"/>
      <name val="Calibri"/>
      <family val="2"/>
    </font>
    <font>
      <b/>
      <sz val="7"/>
      <color rgb="FFFF0000"/>
      <name val="Arial"/>
      <family val="2"/>
    </font>
    <font>
      <b/>
      <sz val="10"/>
      <name val="Century Gothic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20">
    <xf numFmtId="0" fontId="0" fillId="0" borderId="0" xfId="0"/>
    <xf numFmtId="1" fontId="1" fillId="0" borderId="7" xfId="1" applyNumberFormat="1" applyFont="1" applyBorder="1" applyAlignment="1">
      <alignment horizontal="center"/>
    </xf>
    <xf numFmtId="10" fontId="6" fillId="0" borderId="7" xfId="1" applyNumberFormat="1" applyFont="1" applyBorder="1" applyAlignment="1">
      <alignment horizontal="center"/>
    </xf>
    <xf numFmtId="0" fontId="2" fillId="0" borderId="0" xfId="8" applyFont="1" applyAlignment="1"/>
    <xf numFmtId="0" fontId="1" fillId="0" borderId="0" xfId="8"/>
    <xf numFmtId="0" fontId="1" fillId="0" borderId="0" xfId="8" applyAlignment="1"/>
    <xf numFmtId="0" fontId="1" fillId="0" borderId="0" xfId="8" applyAlignment="1">
      <alignment horizontal="center"/>
    </xf>
    <xf numFmtId="0" fontId="4" fillId="0" borderId="0" xfId="8" applyFont="1" applyAlignment="1">
      <alignment horizontal="centerContinuous"/>
    </xf>
    <xf numFmtId="0" fontId="4" fillId="0" borderId="0" xfId="8" applyFont="1" applyAlignment="1">
      <alignment horizontal="center"/>
    </xf>
    <xf numFmtId="0" fontId="5" fillId="0" borderId="0" xfId="8" applyFont="1" applyAlignment="1">
      <alignment horizontal="center" wrapText="1"/>
    </xf>
    <xf numFmtId="165" fontId="0" fillId="0" borderId="0" xfId="10" applyNumberFormat="1" applyFont="1"/>
    <xf numFmtId="164" fontId="0" fillId="0" borderId="2" xfId="7" applyNumberFormat="1" applyFont="1" applyBorder="1"/>
    <xf numFmtId="164" fontId="0" fillId="0" borderId="3" xfId="7" applyNumberFormat="1" applyFont="1" applyBorder="1"/>
    <xf numFmtId="164" fontId="0" fillId="0" borderId="0" xfId="7" applyNumberFormat="1" applyFont="1"/>
    <xf numFmtId="164" fontId="0" fillId="0" borderId="0" xfId="7" applyNumberFormat="1" applyFont="1" applyBorder="1"/>
    <xf numFmtId="0" fontId="1" fillId="0" borderId="0" xfId="8" applyFill="1"/>
    <xf numFmtId="165" fontId="0" fillId="0" borderId="1" xfId="10" applyNumberFormat="1" applyFont="1" applyFill="1" applyBorder="1"/>
    <xf numFmtId="0" fontId="1" fillId="0" borderId="0" xfId="8" applyFill="1" applyBorder="1"/>
    <xf numFmtId="166" fontId="0" fillId="0" borderId="0" xfId="5" applyNumberFormat="1" applyFont="1" applyFill="1" applyBorder="1"/>
    <xf numFmtId="164" fontId="0" fillId="0" borderId="0" xfId="7" applyNumberFormat="1" applyFont="1" applyFill="1"/>
    <xf numFmtId="164" fontId="0" fillId="0" borderId="2" xfId="12" applyNumberFormat="1" applyFont="1" applyFill="1" applyBorder="1"/>
    <xf numFmtId="164" fontId="0" fillId="0" borderId="0" xfId="7" applyNumberFormat="1" applyFont="1" applyFill="1" applyBorder="1"/>
    <xf numFmtId="10" fontId="0" fillId="0" borderId="2" xfId="5" applyNumberFormat="1" applyFont="1" applyFill="1" applyBorder="1"/>
    <xf numFmtId="165" fontId="0" fillId="0" borderId="4" xfId="10" applyNumberFormat="1" applyFont="1" applyFill="1" applyBorder="1"/>
    <xf numFmtId="165" fontId="0" fillId="0" borderId="0" xfId="10" applyNumberFormat="1" applyFont="1" applyFill="1" applyBorder="1"/>
    <xf numFmtId="0" fontId="1" fillId="0" borderId="0" xfId="8" applyFont="1" applyFill="1"/>
    <xf numFmtId="167" fontId="1" fillId="0" borderId="2" xfId="7" applyNumberFormat="1" applyFont="1" applyFill="1" applyBorder="1"/>
    <xf numFmtId="0" fontId="5" fillId="0" borderId="0" xfId="8" applyFont="1" applyFill="1" applyAlignment="1">
      <alignment horizontal="center" wrapText="1"/>
    </xf>
    <xf numFmtId="10" fontId="8" fillId="0" borderId="0" xfId="13" applyNumberFormat="1" applyFont="1" applyFill="1"/>
    <xf numFmtId="169" fontId="1" fillId="0" borderId="7" xfId="8" applyNumberFormat="1" applyFill="1" applyBorder="1"/>
    <xf numFmtId="169" fontId="1" fillId="0" borderId="6" xfId="8" applyNumberFormat="1" applyFill="1" applyBorder="1"/>
    <xf numFmtId="44" fontId="1" fillId="0" borderId="0" xfId="8" applyNumberFormat="1" applyFill="1"/>
    <xf numFmtId="0" fontId="4" fillId="0" borderId="0" xfId="8" applyFont="1" applyFill="1"/>
    <xf numFmtId="169" fontId="1" fillId="0" borderId="0" xfId="8" applyNumberFormat="1" applyFill="1"/>
    <xf numFmtId="10" fontId="1" fillId="0" borderId="2" xfId="8" applyNumberFormat="1" applyFill="1" applyBorder="1"/>
    <xf numFmtId="169" fontId="1" fillId="0" borderId="0" xfId="8" applyNumberFormat="1"/>
    <xf numFmtId="9" fontId="1" fillId="0" borderId="2" xfId="8" applyNumberFormat="1" applyBorder="1"/>
    <xf numFmtId="165" fontId="1" fillId="0" borderId="0" xfId="14" applyNumberFormat="1" applyFont="1" applyFill="1"/>
    <xf numFmtId="165" fontId="0" fillId="0" borderId="0" xfId="14" applyNumberFormat="1" applyFont="1"/>
    <xf numFmtId="164" fontId="0" fillId="0" borderId="0" xfId="12" applyNumberFormat="1" applyFont="1"/>
    <xf numFmtId="165" fontId="1" fillId="0" borderId="1" xfId="8" applyNumberFormat="1" applyBorder="1"/>
    <xf numFmtId="0" fontId="1" fillId="0" borderId="0" xfId="8" applyBorder="1"/>
    <xf numFmtId="9" fontId="1" fillId="0" borderId="0" xfId="13" applyFont="1" applyFill="1" applyBorder="1"/>
    <xf numFmtId="10" fontId="1" fillId="0" borderId="0" xfId="8" applyNumberFormat="1" applyFill="1" applyBorder="1"/>
    <xf numFmtId="168" fontId="1" fillId="0" borderId="0" xfId="8" applyNumberFormat="1" applyFill="1" applyBorder="1"/>
    <xf numFmtId="9" fontId="1" fillId="0" borderId="0" xfId="8" applyNumberFormat="1" applyFill="1" applyBorder="1"/>
    <xf numFmtId="9" fontId="1" fillId="0" borderId="0" xfId="8" applyNumberFormat="1" applyBorder="1"/>
    <xf numFmtId="10" fontId="1" fillId="0" borderId="0" xfId="8" applyNumberFormat="1" applyBorder="1"/>
    <xf numFmtId="165" fontId="2" fillId="0" borderId="0" xfId="10" applyNumberFormat="1" applyFont="1"/>
    <xf numFmtId="164" fontId="2" fillId="0" borderId="2" xfId="7" applyNumberFormat="1" applyFont="1" applyBorder="1"/>
    <xf numFmtId="164" fontId="2" fillId="0" borderId="3" xfId="7" applyNumberFormat="1" applyFont="1" applyBorder="1"/>
    <xf numFmtId="164" fontId="2" fillId="0" borderId="0" xfId="7" applyNumberFormat="1" applyFont="1"/>
    <xf numFmtId="164" fontId="2" fillId="0" borderId="0" xfId="7" applyNumberFormat="1" applyFont="1" applyBorder="1"/>
    <xf numFmtId="165" fontId="2" fillId="0" borderId="1" xfId="10" applyNumberFormat="1" applyFont="1" applyFill="1" applyBorder="1"/>
    <xf numFmtId="166" fontId="2" fillId="0" borderId="0" xfId="5" applyNumberFormat="1" applyFont="1" applyFill="1" applyBorder="1"/>
    <xf numFmtId="165" fontId="2" fillId="0" borderId="0" xfId="10" applyNumberFormat="1" applyFont="1" applyFill="1"/>
    <xf numFmtId="164" fontId="2" fillId="0" borderId="0" xfId="7" applyNumberFormat="1" applyFont="1" applyFill="1"/>
    <xf numFmtId="164" fontId="2" fillId="0" borderId="2" xfId="12" applyNumberFormat="1" applyFont="1" applyFill="1" applyBorder="1"/>
    <xf numFmtId="164" fontId="2" fillId="0" borderId="0" xfId="7" applyNumberFormat="1" applyFont="1" applyFill="1" applyBorder="1"/>
    <xf numFmtId="10" fontId="2" fillId="0" borderId="2" xfId="5" applyNumberFormat="1" applyFont="1" applyFill="1" applyBorder="1"/>
    <xf numFmtId="165" fontId="2" fillId="0" borderId="4" xfId="10" applyNumberFormat="1" applyFont="1" applyFill="1" applyBorder="1"/>
    <xf numFmtId="165" fontId="2" fillId="0" borderId="0" xfId="10" applyNumberFormat="1" applyFont="1" applyFill="1" applyBorder="1"/>
    <xf numFmtId="167" fontId="2" fillId="0" borderId="2" xfId="7" applyNumberFormat="1" applyFont="1" applyFill="1" applyBorder="1"/>
    <xf numFmtId="0" fontId="2" fillId="0" borderId="0" xfId="8" applyFont="1" applyFill="1"/>
    <xf numFmtId="169" fontId="2" fillId="0" borderId="0" xfId="8" applyNumberFormat="1" applyFont="1" applyFill="1" applyBorder="1"/>
    <xf numFmtId="169" fontId="2" fillId="0" borderId="5" xfId="8" applyNumberFormat="1" applyFont="1" applyFill="1" applyBorder="1"/>
    <xf numFmtId="167" fontId="2" fillId="0" borderId="0" xfId="7" applyNumberFormat="1" applyFont="1" applyBorder="1"/>
    <xf numFmtId="0" fontId="2" fillId="0" borderId="11" xfId="8" applyFont="1" applyBorder="1" applyAlignment="1">
      <alignment horizontal="center"/>
    </xf>
    <xf numFmtId="169" fontId="2" fillId="0" borderId="8" xfId="8" applyNumberFormat="1" applyFont="1" applyFill="1" applyBorder="1"/>
    <xf numFmtId="0" fontId="9" fillId="0" borderId="0" xfId="8" applyFont="1" applyFill="1" applyAlignment="1">
      <alignment horizontal="right"/>
    </xf>
    <xf numFmtId="164" fontId="1" fillId="0" borderId="0" xfId="1" applyNumberFormat="1"/>
    <xf numFmtId="43" fontId="9" fillId="0" borderId="0" xfId="1" applyFont="1" applyAlignment="1"/>
    <xf numFmtId="1" fontId="1" fillId="0" borderId="5" xfId="1" applyNumberFormat="1" applyBorder="1" applyAlignment="1">
      <alignment horizontal="center"/>
    </xf>
    <xf numFmtId="0" fontId="10" fillId="2" borderId="11" xfId="0" applyFont="1" applyFill="1" applyBorder="1" applyAlignment="1" applyProtection="1">
      <alignment horizontal="center" wrapText="1"/>
    </xf>
    <xf numFmtId="43" fontId="1" fillId="0" borderId="5" xfId="1" applyFont="1" applyBorder="1" applyAlignment="1">
      <alignment horizontal="center" wrapText="1"/>
    </xf>
    <xf numFmtId="43" fontId="0" fillId="0" borderId="0" xfId="0" applyNumberFormat="1"/>
    <xf numFmtId="0" fontId="2" fillId="0" borderId="0" xfId="0" applyFont="1"/>
    <xf numFmtId="164" fontId="2" fillId="0" borderId="3" xfId="0" applyNumberFormat="1" applyFont="1" applyBorder="1"/>
    <xf numFmtId="165" fontId="0" fillId="3" borderId="0" xfId="10" applyNumberFormat="1" applyFont="1" applyFill="1"/>
    <xf numFmtId="8" fontId="0" fillId="0" borderId="0" xfId="0" applyNumberFormat="1"/>
    <xf numFmtId="0" fontId="13" fillId="0" borderId="0" xfId="8" applyFont="1"/>
    <xf numFmtId="0" fontId="10" fillId="0" borderId="12" xfId="0" applyFont="1" applyFill="1" applyBorder="1" applyAlignment="1" applyProtection="1">
      <alignment horizontal="center" wrapText="1"/>
    </xf>
    <xf numFmtId="14" fontId="9" fillId="0" borderId="13" xfId="0" applyNumberFormat="1" applyFont="1" applyFill="1" applyBorder="1" applyAlignment="1">
      <alignment horizontal="center"/>
    </xf>
    <xf numFmtId="164" fontId="0" fillId="0" borderId="13" xfId="1" applyNumberFormat="1" applyFont="1" applyFill="1" applyBorder="1"/>
    <xf numFmtId="43" fontId="10" fillId="0" borderId="13" xfId="0" applyNumberFormat="1" applyFont="1" applyFill="1" applyBorder="1" applyAlignment="1" applyProtection="1">
      <alignment horizontal="center" wrapText="1"/>
    </xf>
    <xf numFmtId="0" fontId="10" fillId="0" borderId="13" xfId="0" applyFont="1" applyFill="1" applyBorder="1" applyAlignment="1" applyProtection="1">
      <alignment horizontal="center" wrapText="1"/>
    </xf>
    <xf numFmtId="43" fontId="0" fillId="0" borderId="14" xfId="0" applyNumberFormat="1" applyBorder="1"/>
    <xf numFmtId="0" fontId="11" fillId="0" borderId="15" xfId="0" applyFont="1" applyFill="1" applyBorder="1" applyAlignment="1">
      <alignment horizontal="left"/>
    </xf>
    <xf numFmtId="14" fontId="0" fillId="0" borderId="0" xfId="0" applyNumberFormat="1" applyBorder="1"/>
    <xf numFmtId="0" fontId="0" fillId="0" borderId="0" xfId="0" applyBorder="1"/>
    <xf numFmtId="8" fontId="0" fillId="0" borderId="0" xfId="0" applyNumberFormat="1" applyBorder="1"/>
    <xf numFmtId="43" fontId="0" fillId="0" borderId="0" xfId="0" applyNumberFormat="1" applyBorder="1"/>
    <xf numFmtId="43" fontId="0" fillId="0" borderId="0" xfId="1" applyNumberFormat="1" applyFont="1" applyBorder="1"/>
    <xf numFmtId="43" fontId="0" fillId="0" borderId="16" xfId="0" applyNumberFormat="1" applyBorder="1"/>
    <xf numFmtId="164" fontId="0" fillId="0" borderId="16" xfId="0" applyNumberFormat="1" applyBorder="1"/>
    <xf numFmtId="0" fontId="12" fillId="0" borderId="15" xfId="0" applyFont="1" applyFill="1" applyBorder="1" applyAlignment="1">
      <alignment horizontal="left"/>
    </xf>
    <xf numFmtId="14" fontId="2" fillId="0" borderId="0" xfId="0" applyNumberFormat="1" applyFont="1" applyBorder="1"/>
    <xf numFmtId="0" fontId="2" fillId="0" borderId="0" xfId="0" applyFont="1" applyBorder="1"/>
    <xf numFmtId="43" fontId="2" fillId="0" borderId="0" xfId="0" applyNumberFormat="1" applyFont="1" applyBorder="1"/>
    <xf numFmtId="43" fontId="2" fillId="0" borderId="0" xfId="1" applyNumberFormat="1" applyFont="1" applyBorder="1"/>
    <xf numFmtId="164" fontId="2" fillId="0" borderId="16" xfId="0" applyNumberFormat="1" applyFont="1" applyBorder="1"/>
    <xf numFmtId="0" fontId="12" fillId="0" borderId="17" xfId="0" applyFont="1" applyFill="1" applyBorder="1" applyAlignment="1">
      <alignment horizontal="left"/>
    </xf>
    <xf numFmtId="14" fontId="2" fillId="0" borderId="2" xfId="0" applyNumberFormat="1" applyFont="1" applyBorder="1"/>
    <xf numFmtId="0" fontId="2" fillId="0" borderId="2" xfId="0" applyFont="1" applyBorder="1"/>
    <xf numFmtId="8" fontId="0" fillId="0" borderId="2" xfId="0" applyNumberFormat="1" applyBorder="1"/>
    <xf numFmtId="43" fontId="2" fillId="0" borderId="2" xfId="0" applyNumberFormat="1" applyFont="1" applyBorder="1"/>
    <xf numFmtId="43" fontId="2" fillId="0" borderId="2" xfId="1" applyNumberFormat="1" applyFont="1" applyBorder="1"/>
    <xf numFmtId="164" fontId="0" fillId="0" borderId="18" xfId="0" applyNumberFormat="1" applyBorder="1"/>
    <xf numFmtId="0" fontId="2" fillId="0" borderId="0" xfId="8" applyFont="1" applyBorder="1" applyAlignment="1">
      <alignment horizontal="center"/>
    </xf>
    <xf numFmtId="164" fontId="2" fillId="0" borderId="0" xfId="12" applyNumberFormat="1" applyFont="1" applyFill="1" applyBorder="1"/>
    <xf numFmtId="10" fontId="2" fillId="0" borderId="0" xfId="5" applyNumberFormat="1" applyFont="1" applyFill="1" applyBorder="1"/>
    <xf numFmtId="167" fontId="2" fillId="0" borderId="0" xfId="7" applyNumberFormat="1" applyFont="1" applyFill="1" applyBorder="1"/>
    <xf numFmtId="0" fontId="2" fillId="3" borderId="0" xfId="0" applyFont="1" applyFill="1"/>
    <xf numFmtId="169" fontId="1" fillId="3" borderId="0" xfId="0" applyNumberFormat="1" applyFont="1" applyFill="1"/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2" fillId="0" borderId="9" xfId="8" applyFont="1" applyBorder="1" applyAlignment="1">
      <alignment horizontal="center"/>
    </xf>
    <xf numFmtId="0" fontId="2" fillId="0" borderId="3" xfId="8" applyFont="1" applyBorder="1" applyAlignment="1">
      <alignment horizontal="center"/>
    </xf>
    <xf numFmtId="0" fontId="2" fillId="0" borderId="10" xfId="8" applyFont="1" applyBorder="1" applyAlignment="1">
      <alignment horizontal="center"/>
    </xf>
    <xf numFmtId="0" fontId="1" fillId="0" borderId="0" xfId="8" applyAlignment="1">
      <alignment horizontal="left" wrapText="1"/>
    </xf>
  </cellXfs>
  <cellStyles count="15">
    <cellStyle name="Comma" xfId="1" builtinId="3"/>
    <cellStyle name="Comma 2" xfId="2"/>
    <cellStyle name="Comma 2 2" xfId="7"/>
    <cellStyle name="Comma 3" xfId="12"/>
    <cellStyle name="Currency 2" xfId="3"/>
    <cellStyle name="Currency 2 2" xfId="10"/>
    <cellStyle name="Currency 2 3" xfId="11"/>
    <cellStyle name="Currency 3" xfId="9"/>
    <cellStyle name="Currency 4" xfId="14"/>
    <cellStyle name="Normal" xfId="0" builtinId="0"/>
    <cellStyle name="Normal 2" xfId="8"/>
    <cellStyle name="Normal 2 2" xfId="6"/>
    <cellStyle name="Percent 2" xfId="4"/>
    <cellStyle name="Percent 2 2" xfId="5"/>
    <cellStyle name="Percent 3" xfId="13"/>
  </cellStyles>
  <dxfs count="3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F5" sqref="F5"/>
    </sheetView>
  </sheetViews>
  <sheetFormatPr defaultRowHeight="12.75" x14ac:dyDescent="0.2"/>
  <cols>
    <col min="1" max="1" width="7.42578125" bestFit="1" customWidth="1"/>
    <col min="2" max="2" width="10.140625" bestFit="1" customWidth="1"/>
    <col min="3" max="3" width="12.28515625" customWidth="1"/>
    <col min="4" max="4" width="15.28515625" customWidth="1"/>
    <col min="5" max="5" width="13.7109375" customWidth="1"/>
    <col min="6" max="6" width="12.140625" bestFit="1" customWidth="1"/>
    <col min="7" max="7" width="13.140625" bestFit="1" customWidth="1"/>
    <col min="8" max="8" width="12.42578125" bestFit="1" customWidth="1"/>
  </cols>
  <sheetData>
    <row r="1" spans="1:8" x14ac:dyDescent="0.2">
      <c r="A1" s="76" t="s">
        <v>56</v>
      </c>
    </row>
    <row r="2" spans="1:8" x14ac:dyDescent="0.2">
      <c r="A2" s="76" t="s">
        <v>57</v>
      </c>
    </row>
    <row r="4" spans="1:8" ht="13.5" thickBot="1" x14ac:dyDescent="0.25"/>
    <row r="5" spans="1:8" ht="26.25" thickBot="1" x14ac:dyDescent="0.25">
      <c r="B5" s="1">
        <v>24</v>
      </c>
      <c r="C5" s="74" t="s">
        <v>14</v>
      </c>
      <c r="E5" s="112" t="s">
        <v>59</v>
      </c>
      <c r="F5" s="113">
        <v>-18702000</v>
      </c>
    </row>
    <row r="6" spans="1:8" ht="13.5" thickBot="1" x14ac:dyDescent="0.25">
      <c r="B6" s="2">
        <v>3.2500000000000001E-2</v>
      </c>
      <c r="C6" s="72" t="s">
        <v>15</v>
      </c>
      <c r="F6" s="75"/>
      <c r="G6" s="75"/>
      <c r="H6" s="75"/>
    </row>
    <row r="9" spans="1:8" ht="38.25" x14ac:dyDescent="0.2">
      <c r="A9" s="73" t="s">
        <v>53</v>
      </c>
      <c r="B9" s="73" t="s">
        <v>49</v>
      </c>
      <c r="C9" s="73" t="s">
        <v>48</v>
      </c>
      <c r="D9" s="73" t="s">
        <v>54</v>
      </c>
      <c r="E9" s="73" t="s">
        <v>50</v>
      </c>
      <c r="F9" s="73" t="s">
        <v>51</v>
      </c>
      <c r="G9" s="73" t="s">
        <v>52</v>
      </c>
    </row>
    <row r="10" spans="1:8" x14ac:dyDescent="0.2">
      <c r="A10" s="81"/>
      <c r="B10" s="82" t="s">
        <v>46</v>
      </c>
      <c r="C10" s="83">
        <f>'G-PCD-1'!X29</f>
        <v>1919546</v>
      </c>
      <c r="D10" s="84"/>
      <c r="E10" s="85"/>
      <c r="F10" s="85"/>
      <c r="G10" s="86">
        <f>C10</f>
        <v>1919546</v>
      </c>
    </row>
    <row r="11" spans="1:8" x14ac:dyDescent="0.2">
      <c r="A11" s="87">
        <v>1</v>
      </c>
      <c r="B11" s="88">
        <v>42400</v>
      </c>
      <c r="C11" s="89"/>
      <c r="D11" s="90">
        <f>-PMT($B$6/12,B5,C10,0)</f>
        <v>82716.850000000006</v>
      </c>
      <c r="E11" s="91">
        <f>D11-F11</f>
        <v>77518.080000000002</v>
      </c>
      <c r="F11" s="92">
        <f>(G10*$B$6)/12</f>
        <v>5198.7700000000004</v>
      </c>
      <c r="G11" s="93">
        <f>G10-E11</f>
        <v>1842027.92</v>
      </c>
      <c r="H11" s="79"/>
    </row>
    <row r="12" spans="1:8" x14ac:dyDescent="0.2">
      <c r="A12" s="87">
        <v>2</v>
      </c>
      <c r="B12" s="88">
        <v>42428</v>
      </c>
      <c r="C12" s="89"/>
      <c r="D12" s="90">
        <f>D11</f>
        <v>82716.850000000006</v>
      </c>
      <c r="E12" s="91">
        <f t="shared" ref="E12:E34" si="0">D12-F12</f>
        <v>77728.02</v>
      </c>
      <c r="F12" s="92">
        <f>(G11*$B$6)/12</f>
        <v>4988.83</v>
      </c>
      <c r="G12" s="94">
        <f t="shared" ref="G12:G33" si="1">G11-E12</f>
        <v>1764300</v>
      </c>
    </row>
    <row r="13" spans="1:8" x14ac:dyDescent="0.2">
      <c r="A13" s="87">
        <v>3</v>
      </c>
      <c r="B13" s="88">
        <v>42459</v>
      </c>
      <c r="C13" s="89"/>
      <c r="D13" s="90">
        <f t="shared" ref="D13:D34" si="2">D12</f>
        <v>82716.850000000006</v>
      </c>
      <c r="E13" s="91">
        <f t="shared" si="0"/>
        <v>77938.539999999994</v>
      </c>
      <c r="F13" s="92">
        <f t="shared" ref="F13:F34" si="3">(G12*$B$6)/12</f>
        <v>4778.3100000000004</v>
      </c>
      <c r="G13" s="94">
        <f t="shared" si="1"/>
        <v>1686361</v>
      </c>
    </row>
    <row r="14" spans="1:8" x14ac:dyDescent="0.2">
      <c r="A14" s="87">
        <v>4</v>
      </c>
      <c r="B14" s="88">
        <v>42490</v>
      </c>
      <c r="C14" s="89"/>
      <c r="D14" s="90">
        <f t="shared" si="2"/>
        <v>82716.850000000006</v>
      </c>
      <c r="E14" s="91">
        <f t="shared" si="0"/>
        <v>78149.62</v>
      </c>
      <c r="F14" s="92">
        <f t="shared" si="3"/>
        <v>4567.2299999999996</v>
      </c>
      <c r="G14" s="94">
        <f t="shared" si="1"/>
        <v>1608211</v>
      </c>
    </row>
    <row r="15" spans="1:8" x14ac:dyDescent="0.2">
      <c r="A15" s="87">
        <v>5</v>
      </c>
      <c r="B15" s="88">
        <v>42521</v>
      </c>
      <c r="C15" s="89"/>
      <c r="D15" s="90">
        <f t="shared" si="2"/>
        <v>82716.850000000006</v>
      </c>
      <c r="E15" s="91">
        <f t="shared" si="0"/>
        <v>78361.279999999999</v>
      </c>
      <c r="F15" s="92">
        <f t="shared" si="3"/>
        <v>4355.57</v>
      </c>
      <c r="G15" s="94">
        <f t="shared" si="1"/>
        <v>1529850</v>
      </c>
    </row>
    <row r="16" spans="1:8" x14ac:dyDescent="0.2">
      <c r="A16" s="87">
        <v>6</v>
      </c>
      <c r="B16" s="88">
        <v>42551</v>
      </c>
      <c r="C16" s="89"/>
      <c r="D16" s="90">
        <f t="shared" si="2"/>
        <v>82716.850000000006</v>
      </c>
      <c r="E16" s="91">
        <f t="shared" si="0"/>
        <v>78573.509999999995</v>
      </c>
      <c r="F16" s="92">
        <f t="shared" si="3"/>
        <v>4143.34</v>
      </c>
      <c r="G16" s="94">
        <f t="shared" si="1"/>
        <v>1451276</v>
      </c>
    </row>
    <row r="17" spans="1:7" x14ac:dyDescent="0.2">
      <c r="A17" s="87">
        <v>7</v>
      </c>
      <c r="B17" s="88">
        <v>42582</v>
      </c>
      <c r="C17" s="89"/>
      <c r="D17" s="90">
        <f t="shared" si="2"/>
        <v>82716.850000000006</v>
      </c>
      <c r="E17" s="91">
        <f t="shared" si="0"/>
        <v>78786.31</v>
      </c>
      <c r="F17" s="92">
        <f t="shared" si="3"/>
        <v>3930.54</v>
      </c>
      <c r="G17" s="94">
        <f t="shared" si="1"/>
        <v>1372490</v>
      </c>
    </row>
    <row r="18" spans="1:7" x14ac:dyDescent="0.2">
      <c r="A18" s="87">
        <v>8</v>
      </c>
      <c r="B18" s="88">
        <v>42613</v>
      </c>
      <c r="C18" s="89"/>
      <c r="D18" s="90">
        <f t="shared" si="2"/>
        <v>82716.850000000006</v>
      </c>
      <c r="E18" s="91">
        <f t="shared" si="0"/>
        <v>78999.69</v>
      </c>
      <c r="F18" s="92">
        <f t="shared" si="3"/>
        <v>3717.16</v>
      </c>
      <c r="G18" s="94">
        <f t="shared" si="1"/>
        <v>1293490</v>
      </c>
    </row>
    <row r="19" spans="1:7" x14ac:dyDescent="0.2">
      <c r="A19" s="87">
        <v>9</v>
      </c>
      <c r="B19" s="88">
        <v>42643</v>
      </c>
      <c r="C19" s="89"/>
      <c r="D19" s="90">
        <f t="shared" si="2"/>
        <v>82716.850000000006</v>
      </c>
      <c r="E19" s="91">
        <f t="shared" si="0"/>
        <v>79213.649999999994</v>
      </c>
      <c r="F19" s="92">
        <f t="shared" si="3"/>
        <v>3503.2</v>
      </c>
      <c r="G19" s="94">
        <f t="shared" si="1"/>
        <v>1214276</v>
      </c>
    </row>
    <row r="20" spans="1:7" x14ac:dyDescent="0.2">
      <c r="A20" s="87">
        <v>10</v>
      </c>
      <c r="B20" s="88">
        <v>42674</v>
      </c>
      <c r="C20" s="89"/>
      <c r="D20" s="90">
        <f t="shared" si="2"/>
        <v>82716.850000000006</v>
      </c>
      <c r="E20" s="91">
        <f t="shared" si="0"/>
        <v>79428.19</v>
      </c>
      <c r="F20" s="92">
        <f t="shared" si="3"/>
        <v>3288.66</v>
      </c>
      <c r="G20" s="94">
        <f t="shared" si="1"/>
        <v>1134848</v>
      </c>
    </row>
    <row r="21" spans="1:7" x14ac:dyDescent="0.2">
      <c r="A21" s="87">
        <v>11</v>
      </c>
      <c r="B21" s="88">
        <v>42704</v>
      </c>
      <c r="C21" s="89"/>
      <c r="D21" s="90">
        <f t="shared" si="2"/>
        <v>82716.850000000006</v>
      </c>
      <c r="E21" s="91">
        <f t="shared" si="0"/>
        <v>79643.3</v>
      </c>
      <c r="F21" s="92">
        <f t="shared" si="3"/>
        <v>3073.55</v>
      </c>
      <c r="G21" s="94">
        <f t="shared" si="1"/>
        <v>1055205</v>
      </c>
    </row>
    <row r="22" spans="1:7" x14ac:dyDescent="0.2">
      <c r="A22" s="95">
        <v>12</v>
      </c>
      <c r="B22" s="96">
        <v>42735</v>
      </c>
      <c r="C22" s="97"/>
      <c r="D22" s="90">
        <f t="shared" si="2"/>
        <v>82716.850000000006</v>
      </c>
      <c r="E22" s="98">
        <f t="shared" si="0"/>
        <v>79859</v>
      </c>
      <c r="F22" s="99">
        <f t="shared" si="3"/>
        <v>2857.85</v>
      </c>
      <c r="G22" s="100">
        <f t="shared" si="1"/>
        <v>975346</v>
      </c>
    </row>
    <row r="23" spans="1:7" x14ac:dyDescent="0.2">
      <c r="A23" s="87">
        <v>13</v>
      </c>
      <c r="B23" s="88">
        <v>42766</v>
      </c>
      <c r="C23" s="89"/>
      <c r="D23" s="90">
        <f t="shared" si="2"/>
        <v>82716.850000000006</v>
      </c>
      <c r="E23" s="91">
        <f t="shared" si="0"/>
        <v>80075.289999999994</v>
      </c>
      <c r="F23" s="92">
        <f t="shared" si="3"/>
        <v>2641.56</v>
      </c>
      <c r="G23" s="94">
        <f t="shared" si="1"/>
        <v>895271</v>
      </c>
    </row>
    <row r="24" spans="1:7" x14ac:dyDescent="0.2">
      <c r="A24" s="87">
        <v>14</v>
      </c>
      <c r="B24" s="88">
        <v>42794</v>
      </c>
      <c r="C24" s="89"/>
      <c r="D24" s="90">
        <f t="shared" si="2"/>
        <v>82716.850000000006</v>
      </c>
      <c r="E24" s="91">
        <f t="shared" si="0"/>
        <v>80292.160000000003</v>
      </c>
      <c r="F24" s="92">
        <f t="shared" si="3"/>
        <v>2424.69</v>
      </c>
      <c r="G24" s="94">
        <f t="shared" si="1"/>
        <v>814979</v>
      </c>
    </row>
    <row r="25" spans="1:7" x14ac:dyDescent="0.2">
      <c r="A25" s="87">
        <v>15</v>
      </c>
      <c r="B25" s="88">
        <v>42824</v>
      </c>
      <c r="C25" s="89"/>
      <c r="D25" s="90">
        <f t="shared" si="2"/>
        <v>82716.850000000006</v>
      </c>
      <c r="E25" s="91">
        <f t="shared" si="0"/>
        <v>80509.62</v>
      </c>
      <c r="F25" s="92">
        <f t="shared" si="3"/>
        <v>2207.23</v>
      </c>
      <c r="G25" s="94">
        <f t="shared" si="1"/>
        <v>734469</v>
      </c>
    </row>
    <row r="26" spans="1:7" x14ac:dyDescent="0.2">
      <c r="A26" s="87">
        <v>16</v>
      </c>
      <c r="B26" s="88">
        <v>42855</v>
      </c>
      <c r="C26" s="89"/>
      <c r="D26" s="90">
        <f t="shared" si="2"/>
        <v>82716.850000000006</v>
      </c>
      <c r="E26" s="91">
        <f t="shared" si="0"/>
        <v>80727.66</v>
      </c>
      <c r="F26" s="92">
        <f t="shared" si="3"/>
        <v>1989.19</v>
      </c>
      <c r="G26" s="94">
        <f t="shared" si="1"/>
        <v>653741</v>
      </c>
    </row>
    <row r="27" spans="1:7" x14ac:dyDescent="0.2">
      <c r="A27" s="87">
        <v>17</v>
      </c>
      <c r="B27" s="88">
        <v>42886</v>
      </c>
      <c r="C27" s="89"/>
      <c r="D27" s="90">
        <f t="shared" si="2"/>
        <v>82716.850000000006</v>
      </c>
      <c r="E27" s="91">
        <f t="shared" si="0"/>
        <v>80946.3</v>
      </c>
      <c r="F27" s="92">
        <f t="shared" si="3"/>
        <v>1770.55</v>
      </c>
      <c r="G27" s="94">
        <f t="shared" si="1"/>
        <v>572795</v>
      </c>
    </row>
    <row r="28" spans="1:7" x14ac:dyDescent="0.2">
      <c r="A28" s="87">
        <v>18</v>
      </c>
      <c r="B28" s="88">
        <v>42916</v>
      </c>
      <c r="C28" s="89"/>
      <c r="D28" s="90">
        <f t="shared" si="2"/>
        <v>82716.850000000006</v>
      </c>
      <c r="E28" s="91">
        <f t="shared" si="0"/>
        <v>81165.53</v>
      </c>
      <c r="F28" s="92">
        <f t="shared" si="3"/>
        <v>1551.32</v>
      </c>
      <c r="G28" s="94">
        <f t="shared" si="1"/>
        <v>491629</v>
      </c>
    </row>
    <row r="29" spans="1:7" x14ac:dyDescent="0.2">
      <c r="A29" s="87">
        <v>19</v>
      </c>
      <c r="B29" s="88">
        <v>42947</v>
      </c>
      <c r="C29" s="89"/>
      <c r="D29" s="90">
        <f t="shared" si="2"/>
        <v>82716.850000000006</v>
      </c>
      <c r="E29" s="91">
        <f t="shared" si="0"/>
        <v>81385.350000000006</v>
      </c>
      <c r="F29" s="92">
        <f t="shared" si="3"/>
        <v>1331.5</v>
      </c>
      <c r="G29" s="94">
        <f t="shared" si="1"/>
        <v>410244</v>
      </c>
    </row>
    <row r="30" spans="1:7" x14ac:dyDescent="0.2">
      <c r="A30" s="87">
        <v>20</v>
      </c>
      <c r="B30" s="88">
        <v>42978</v>
      </c>
      <c r="C30" s="89"/>
      <c r="D30" s="90">
        <f t="shared" si="2"/>
        <v>82716.850000000006</v>
      </c>
      <c r="E30" s="91">
        <f t="shared" si="0"/>
        <v>81605.77</v>
      </c>
      <c r="F30" s="92">
        <f t="shared" si="3"/>
        <v>1111.08</v>
      </c>
      <c r="G30" s="94">
        <f t="shared" si="1"/>
        <v>328638</v>
      </c>
    </row>
    <row r="31" spans="1:7" x14ac:dyDescent="0.2">
      <c r="A31" s="87">
        <v>21</v>
      </c>
      <c r="B31" s="88">
        <v>43008</v>
      </c>
      <c r="C31" s="89"/>
      <c r="D31" s="90">
        <f t="shared" si="2"/>
        <v>82716.850000000006</v>
      </c>
      <c r="E31" s="91">
        <f t="shared" si="0"/>
        <v>81826.789999999994</v>
      </c>
      <c r="F31" s="92">
        <f t="shared" si="3"/>
        <v>890.06</v>
      </c>
      <c r="G31" s="94">
        <f t="shared" si="1"/>
        <v>246811</v>
      </c>
    </row>
    <row r="32" spans="1:7" x14ac:dyDescent="0.2">
      <c r="A32" s="87">
        <v>22</v>
      </c>
      <c r="B32" s="88">
        <v>43039</v>
      </c>
      <c r="C32" s="89"/>
      <c r="D32" s="90">
        <f t="shared" si="2"/>
        <v>82716.850000000006</v>
      </c>
      <c r="E32" s="91">
        <f t="shared" si="0"/>
        <v>82048.399999999994</v>
      </c>
      <c r="F32" s="92">
        <f t="shared" si="3"/>
        <v>668.45</v>
      </c>
      <c r="G32" s="94">
        <f t="shared" si="1"/>
        <v>164763</v>
      </c>
    </row>
    <row r="33" spans="1:8" ht="14.25" customHeight="1" x14ac:dyDescent="0.2">
      <c r="A33" s="87">
        <v>23</v>
      </c>
      <c r="B33" s="88">
        <v>43069</v>
      </c>
      <c r="C33" s="89"/>
      <c r="D33" s="90">
        <f t="shared" si="2"/>
        <v>82716.850000000006</v>
      </c>
      <c r="E33" s="91">
        <f t="shared" si="0"/>
        <v>82270.62</v>
      </c>
      <c r="F33" s="92">
        <f t="shared" si="3"/>
        <v>446.23</v>
      </c>
      <c r="G33" s="94">
        <f t="shared" si="1"/>
        <v>82492</v>
      </c>
    </row>
    <row r="34" spans="1:8" x14ac:dyDescent="0.2">
      <c r="A34" s="101">
        <v>24</v>
      </c>
      <c r="B34" s="102">
        <v>43100</v>
      </c>
      <c r="C34" s="103"/>
      <c r="D34" s="104">
        <f t="shared" si="2"/>
        <v>82716.850000000006</v>
      </c>
      <c r="E34" s="105">
        <f t="shared" si="0"/>
        <v>82493.429999999993</v>
      </c>
      <c r="F34" s="106">
        <f t="shared" si="3"/>
        <v>223.42</v>
      </c>
      <c r="G34" s="107">
        <f>G33-E34</f>
        <v>-1</v>
      </c>
    </row>
    <row r="35" spans="1:8" x14ac:dyDescent="0.2">
      <c r="C35" t="s">
        <v>0</v>
      </c>
      <c r="D35" s="79">
        <f>SUM(D11:D34)</f>
        <v>1985204.4</v>
      </c>
      <c r="E35" s="75">
        <f>SUM(E11:E34)</f>
        <v>1919546.11</v>
      </c>
      <c r="F35" s="75">
        <f>SUM(F11:F34)</f>
        <v>65658.289999999994</v>
      </c>
    </row>
    <row r="37" spans="1:8" x14ac:dyDescent="0.2">
      <c r="D37" s="76" t="s">
        <v>55</v>
      </c>
      <c r="G37" s="77">
        <f>G10-G22</f>
        <v>944200</v>
      </c>
      <c r="H37" s="71" t="s">
        <v>47</v>
      </c>
    </row>
  </sheetData>
  <conditionalFormatting sqref="A11:A34">
    <cfRule type="expression" dxfId="2" priority="1" stopIfTrue="1">
      <formula>IF(ROW(A11)&gt;Last_Row,TRUE, FALSE)</formula>
    </cfRule>
    <cfRule type="expression" dxfId="1" priority="2" stopIfTrue="1">
      <formula>IF(ROW(A11)=Last_Row,TRUE, FALSE)</formula>
    </cfRule>
    <cfRule type="expression" dxfId="0" priority="3" stopIfTrue="1">
      <formula>IF(ROW(A11)&lt;Last_Row,TRUE, FALSE)</formula>
    </cfRule>
  </conditionalFormatting>
  <pageMargins left="0.7" right="0.7" top="0.75" bottom="0.75" header="0.3" footer="0.3"/>
  <pageSetup orientation="portrait" r:id="rId1"/>
  <headerFooter>
    <oddHeader>&amp;RAdjustment No. _______
Workpaper Ref. &amp;A</oddHeader>
    <oddFooter>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opLeftCell="F1" zoomScale="80" zoomScaleNormal="80" workbookViewId="0">
      <selection activeCell="X37" sqref="X37"/>
    </sheetView>
  </sheetViews>
  <sheetFormatPr defaultRowHeight="12.75" x14ac:dyDescent="0.2"/>
  <cols>
    <col min="1" max="1" width="5" style="6" bestFit="1" customWidth="1"/>
    <col min="2" max="2" width="47.85546875" style="4" customWidth="1"/>
    <col min="3" max="3" width="2.7109375" style="4" customWidth="1"/>
    <col min="4" max="4" width="14.42578125" style="4" customWidth="1"/>
    <col min="5" max="5" width="14.28515625" style="4" customWidth="1"/>
    <col min="6" max="6" width="14.5703125" style="4" bestFit="1" customWidth="1"/>
    <col min="7" max="7" width="2.7109375" style="4" customWidth="1"/>
    <col min="8" max="8" width="12.140625" style="4" bestFit="1" customWidth="1"/>
    <col min="9" max="9" width="10.5703125" style="4" bestFit="1" customWidth="1"/>
    <col min="10" max="10" width="12.140625" style="4" bestFit="1" customWidth="1"/>
    <col min="11" max="11" width="2.7109375" style="4" customWidth="1"/>
    <col min="12" max="12" width="12.140625" style="4" bestFit="1" customWidth="1"/>
    <col min="13" max="13" width="10.5703125" style="4" bestFit="1" customWidth="1"/>
    <col min="14" max="14" width="12.140625" style="4" bestFit="1" customWidth="1"/>
    <col min="15" max="15" width="2.7109375" style="4" customWidth="1"/>
    <col min="16" max="16" width="12.140625" style="4" bestFit="1" customWidth="1"/>
    <col min="17" max="17" width="10.5703125" style="4" bestFit="1" customWidth="1"/>
    <col min="18" max="18" width="12.140625" style="4" bestFit="1" customWidth="1"/>
    <col min="19" max="19" width="2.7109375" style="4" customWidth="1"/>
    <col min="20" max="21" width="14.5703125" style="4" bestFit="1" customWidth="1"/>
    <col min="22" max="22" width="14.28515625" style="4" bestFit="1" customWidth="1"/>
    <col min="23" max="23" width="2.7109375" style="4" customWidth="1"/>
    <col min="24" max="24" width="13.28515625" style="4" bestFit="1" customWidth="1"/>
    <col min="25" max="25" width="19.140625" style="4" customWidth="1"/>
    <col min="26" max="259" width="9.140625" style="4"/>
    <col min="260" max="260" width="5" style="4" bestFit="1" customWidth="1"/>
    <col min="261" max="261" width="51.7109375" style="4" customWidth="1"/>
    <col min="262" max="262" width="9.140625" style="4"/>
    <col min="263" max="263" width="14.42578125" style="4" customWidth="1"/>
    <col min="264" max="264" width="14.28515625" style="4" customWidth="1"/>
    <col min="265" max="265" width="16" style="4" bestFit="1" customWidth="1"/>
    <col min="266" max="515" width="9.140625" style="4"/>
    <col min="516" max="516" width="5" style="4" bestFit="1" customWidth="1"/>
    <col min="517" max="517" width="51.7109375" style="4" customWidth="1"/>
    <col min="518" max="518" width="9.140625" style="4"/>
    <col min="519" max="519" width="14.42578125" style="4" customWidth="1"/>
    <col min="520" max="520" width="14.28515625" style="4" customWidth="1"/>
    <col min="521" max="521" width="16" style="4" bestFit="1" customWidth="1"/>
    <col min="522" max="771" width="9.140625" style="4"/>
    <col min="772" max="772" width="5" style="4" bestFit="1" customWidth="1"/>
    <col min="773" max="773" width="51.7109375" style="4" customWidth="1"/>
    <col min="774" max="774" width="9.140625" style="4"/>
    <col min="775" max="775" width="14.42578125" style="4" customWidth="1"/>
    <col min="776" max="776" width="14.28515625" style="4" customWidth="1"/>
    <col min="777" max="777" width="16" style="4" bestFit="1" customWidth="1"/>
    <col min="778" max="1027" width="9.140625" style="4"/>
    <col min="1028" max="1028" width="5" style="4" bestFit="1" customWidth="1"/>
    <col min="1029" max="1029" width="51.7109375" style="4" customWidth="1"/>
    <col min="1030" max="1030" width="9.140625" style="4"/>
    <col min="1031" max="1031" width="14.42578125" style="4" customWidth="1"/>
    <col min="1032" max="1032" width="14.28515625" style="4" customWidth="1"/>
    <col min="1033" max="1033" width="16" style="4" bestFit="1" customWidth="1"/>
    <col min="1034" max="1283" width="9.140625" style="4"/>
    <col min="1284" max="1284" width="5" style="4" bestFit="1" customWidth="1"/>
    <col min="1285" max="1285" width="51.7109375" style="4" customWidth="1"/>
    <col min="1286" max="1286" width="9.140625" style="4"/>
    <col min="1287" max="1287" width="14.42578125" style="4" customWidth="1"/>
    <col min="1288" max="1288" width="14.28515625" style="4" customWidth="1"/>
    <col min="1289" max="1289" width="16" style="4" bestFit="1" customWidth="1"/>
    <col min="1290" max="1539" width="9.140625" style="4"/>
    <col min="1540" max="1540" width="5" style="4" bestFit="1" customWidth="1"/>
    <col min="1541" max="1541" width="51.7109375" style="4" customWidth="1"/>
    <col min="1542" max="1542" width="9.140625" style="4"/>
    <col min="1543" max="1543" width="14.42578125" style="4" customWidth="1"/>
    <col min="1544" max="1544" width="14.28515625" style="4" customWidth="1"/>
    <col min="1545" max="1545" width="16" style="4" bestFit="1" customWidth="1"/>
    <col min="1546" max="1795" width="9.140625" style="4"/>
    <col min="1796" max="1796" width="5" style="4" bestFit="1" customWidth="1"/>
    <col min="1797" max="1797" width="51.7109375" style="4" customWidth="1"/>
    <col min="1798" max="1798" width="9.140625" style="4"/>
    <col min="1799" max="1799" width="14.42578125" style="4" customWidth="1"/>
    <col min="1800" max="1800" width="14.28515625" style="4" customWidth="1"/>
    <col min="1801" max="1801" width="16" style="4" bestFit="1" customWidth="1"/>
    <col min="1802" max="2051" width="9.140625" style="4"/>
    <col min="2052" max="2052" width="5" style="4" bestFit="1" customWidth="1"/>
    <col min="2053" max="2053" width="51.7109375" style="4" customWidth="1"/>
    <col min="2054" max="2054" width="9.140625" style="4"/>
    <col min="2055" max="2055" width="14.42578125" style="4" customWidth="1"/>
    <col min="2056" max="2056" width="14.28515625" style="4" customWidth="1"/>
    <col min="2057" max="2057" width="16" style="4" bestFit="1" customWidth="1"/>
    <col min="2058" max="2307" width="9.140625" style="4"/>
    <col min="2308" max="2308" width="5" style="4" bestFit="1" customWidth="1"/>
    <col min="2309" max="2309" width="51.7109375" style="4" customWidth="1"/>
    <col min="2310" max="2310" width="9.140625" style="4"/>
    <col min="2311" max="2311" width="14.42578125" style="4" customWidth="1"/>
    <col min="2312" max="2312" width="14.28515625" style="4" customWidth="1"/>
    <col min="2313" max="2313" width="16" style="4" bestFit="1" customWidth="1"/>
    <col min="2314" max="2563" width="9.140625" style="4"/>
    <col min="2564" max="2564" width="5" style="4" bestFit="1" customWidth="1"/>
    <col min="2565" max="2565" width="51.7109375" style="4" customWidth="1"/>
    <col min="2566" max="2566" width="9.140625" style="4"/>
    <col min="2567" max="2567" width="14.42578125" style="4" customWidth="1"/>
    <col min="2568" max="2568" width="14.28515625" style="4" customWidth="1"/>
    <col min="2569" max="2569" width="16" style="4" bestFit="1" customWidth="1"/>
    <col min="2570" max="2819" width="9.140625" style="4"/>
    <col min="2820" max="2820" width="5" style="4" bestFit="1" customWidth="1"/>
    <col min="2821" max="2821" width="51.7109375" style="4" customWidth="1"/>
    <col min="2822" max="2822" width="9.140625" style="4"/>
    <col min="2823" max="2823" width="14.42578125" style="4" customWidth="1"/>
    <col min="2824" max="2824" width="14.28515625" style="4" customWidth="1"/>
    <col min="2825" max="2825" width="16" style="4" bestFit="1" customWidth="1"/>
    <col min="2826" max="3075" width="9.140625" style="4"/>
    <col min="3076" max="3076" width="5" style="4" bestFit="1" customWidth="1"/>
    <col min="3077" max="3077" width="51.7109375" style="4" customWidth="1"/>
    <col min="3078" max="3078" width="9.140625" style="4"/>
    <col min="3079" max="3079" width="14.42578125" style="4" customWidth="1"/>
    <col min="3080" max="3080" width="14.28515625" style="4" customWidth="1"/>
    <col min="3081" max="3081" width="16" style="4" bestFit="1" customWidth="1"/>
    <col min="3082" max="3331" width="9.140625" style="4"/>
    <col min="3332" max="3332" width="5" style="4" bestFit="1" customWidth="1"/>
    <col min="3333" max="3333" width="51.7109375" style="4" customWidth="1"/>
    <col min="3334" max="3334" width="9.140625" style="4"/>
    <col min="3335" max="3335" width="14.42578125" style="4" customWidth="1"/>
    <col min="3336" max="3336" width="14.28515625" style="4" customWidth="1"/>
    <col min="3337" max="3337" width="16" style="4" bestFit="1" customWidth="1"/>
    <col min="3338" max="3587" width="9.140625" style="4"/>
    <col min="3588" max="3588" width="5" style="4" bestFit="1" customWidth="1"/>
    <col min="3589" max="3589" width="51.7109375" style="4" customWidth="1"/>
    <col min="3590" max="3590" width="9.140625" style="4"/>
    <col min="3591" max="3591" width="14.42578125" style="4" customWidth="1"/>
    <col min="3592" max="3592" width="14.28515625" style="4" customWidth="1"/>
    <col min="3593" max="3593" width="16" style="4" bestFit="1" customWidth="1"/>
    <col min="3594" max="3843" width="9.140625" style="4"/>
    <col min="3844" max="3844" width="5" style="4" bestFit="1" customWidth="1"/>
    <col min="3845" max="3845" width="51.7109375" style="4" customWidth="1"/>
    <col min="3846" max="3846" width="9.140625" style="4"/>
    <col min="3847" max="3847" width="14.42578125" style="4" customWidth="1"/>
    <col min="3848" max="3848" width="14.28515625" style="4" customWidth="1"/>
    <col min="3849" max="3849" width="16" style="4" bestFit="1" customWidth="1"/>
    <col min="3850" max="4099" width="9.140625" style="4"/>
    <col min="4100" max="4100" width="5" style="4" bestFit="1" customWidth="1"/>
    <col min="4101" max="4101" width="51.7109375" style="4" customWidth="1"/>
    <col min="4102" max="4102" width="9.140625" style="4"/>
    <col min="4103" max="4103" width="14.42578125" style="4" customWidth="1"/>
    <col min="4104" max="4104" width="14.28515625" style="4" customWidth="1"/>
    <col min="4105" max="4105" width="16" style="4" bestFit="1" customWidth="1"/>
    <col min="4106" max="4355" width="9.140625" style="4"/>
    <col min="4356" max="4356" width="5" style="4" bestFit="1" customWidth="1"/>
    <col min="4357" max="4357" width="51.7109375" style="4" customWidth="1"/>
    <col min="4358" max="4358" width="9.140625" style="4"/>
    <col min="4359" max="4359" width="14.42578125" style="4" customWidth="1"/>
    <col min="4360" max="4360" width="14.28515625" style="4" customWidth="1"/>
    <col min="4361" max="4361" width="16" style="4" bestFit="1" customWidth="1"/>
    <col min="4362" max="4611" width="9.140625" style="4"/>
    <col min="4612" max="4612" width="5" style="4" bestFit="1" customWidth="1"/>
    <col min="4613" max="4613" width="51.7109375" style="4" customWidth="1"/>
    <col min="4614" max="4614" width="9.140625" style="4"/>
    <col min="4615" max="4615" width="14.42578125" style="4" customWidth="1"/>
    <col min="4616" max="4616" width="14.28515625" style="4" customWidth="1"/>
    <col min="4617" max="4617" width="16" style="4" bestFit="1" customWidth="1"/>
    <col min="4618" max="4867" width="9.140625" style="4"/>
    <col min="4868" max="4868" width="5" style="4" bestFit="1" customWidth="1"/>
    <col min="4869" max="4869" width="51.7109375" style="4" customWidth="1"/>
    <col min="4870" max="4870" width="9.140625" style="4"/>
    <col min="4871" max="4871" width="14.42578125" style="4" customWidth="1"/>
    <col min="4872" max="4872" width="14.28515625" style="4" customWidth="1"/>
    <col min="4873" max="4873" width="16" style="4" bestFit="1" customWidth="1"/>
    <col min="4874" max="5123" width="9.140625" style="4"/>
    <col min="5124" max="5124" width="5" style="4" bestFit="1" customWidth="1"/>
    <col min="5125" max="5125" width="51.7109375" style="4" customWidth="1"/>
    <col min="5126" max="5126" width="9.140625" style="4"/>
    <col min="5127" max="5127" width="14.42578125" style="4" customWidth="1"/>
    <col min="5128" max="5128" width="14.28515625" style="4" customWidth="1"/>
    <col min="5129" max="5129" width="16" style="4" bestFit="1" customWidth="1"/>
    <col min="5130" max="5379" width="9.140625" style="4"/>
    <col min="5380" max="5380" width="5" style="4" bestFit="1" customWidth="1"/>
    <col min="5381" max="5381" width="51.7109375" style="4" customWidth="1"/>
    <col min="5382" max="5382" width="9.140625" style="4"/>
    <col min="5383" max="5383" width="14.42578125" style="4" customWidth="1"/>
    <col min="5384" max="5384" width="14.28515625" style="4" customWidth="1"/>
    <col min="5385" max="5385" width="16" style="4" bestFit="1" customWidth="1"/>
    <col min="5386" max="5635" width="9.140625" style="4"/>
    <col min="5636" max="5636" width="5" style="4" bestFit="1" customWidth="1"/>
    <col min="5637" max="5637" width="51.7109375" style="4" customWidth="1"/>
    <col min="5638" max="5638" width="9.140625" style="4"/>
    <col min="5639" max="5639" width="14.42578125" style="4" customWidth="1"/>
    <col min="5640" max="5640" width="14.28515625" style="4" customWidth="1"/>
    <col min="5641" max="5641" width="16" style="4" bestFit="1" customWidth="1"/>
    <col min="5642" max="5891" width="9.140625" style="4"/>
    <col min="5892" max="5892" width="5" style="4" bestFit="1" customWidth="1"/>
    <col min="5893" max="5893" width="51.7109375" style="4" customWidth="1"/>
    <col min="5894" max="5894" width="9.140625" style="4"/>
    <col min="5895" max="5895" width="14.42578125" style="4" customWidth="1"/>
    <col min="5896" max="5896" width="14.28515625" style="4" customWidth="1"/>
    <col min="5897" max="5897" width="16" style="4" bestFit="1" customWidth="1"/>
    <col min="5898" max="6147" width="9.140625" style="4"/>
    <col min="6148" max="6148" width="5" style="4" bestFit="1" customWidth="1"/>
    <col min="6149" max="6149" width="51.7109375" style="4" customWidth="1"/>
    <col min="6150" max="6150" width="9.140625" style="4"/>
    <col min="6151" max="6151" width="14.42578125" style="4" customWidth="1"/>
    <col min="6152" max="6152" width="14.28515625" style="4" customWidth="1"/>
    <col min="6153" max="6153" width="16" style="4" bestFit="1" customWidth="1"/>
    <col min="6154" max="6403" width="9.140625" style="4"/>
    <col min="6404" max="6404" width="5" style="4" bestFit="1" customWidth="1"/>
    <col min="6405" max="6405" width="51.7109375" style="4" customWidth="1"/>
    <col min="6406" max="6406" width="9.140625" style="4"/>
    <col min="6407" max="6407" width="14.42578125" style="4" customWidth="1"/>
    <col min="6408" max="6408" width="14.28515625" style="4" customWidth="1"/>
    <col min="6409" max="6409" width="16" style="4" bestFit="1" customWidth="1"/>
    <col min="6410" max="6659" width="9.140625" style="4"/>
    <col min="6660" max="6660" width="5" style="4" bestFit="1" customWidth="1"/>
    <col min="6661" max="6661" width="51.7109375" style="4" customWidth="1"/>
    <col min="6662" max="6662" width="9.140625" style="4"/>
    <col min="6663" max="6663" width="14.42578125" style="4" customWidth="1"/>
    <col min="6664" max="6664" width="14.28515625" style="4" customWidth="1"/>
    <col min="6665" max="6665" width="16" style="4" bestFit="1" customWidth="1"/>
    <col min="6666" max="6915" width="9.140625" style="4"/>
    <col min="6916" max="6916" width="5" style="4" bestFit="1" customWidth="1"/>
    <col min="6917" max="6917" width="51.7109375" style="4" customWidth="1"/>
    <col min="6918" max="6918" width="9.140625" style="4"/>
    <col min="6919" max="6919" width="14.42578125" style="4" customWidth="1"/>
    <col min="6920" max="6920" width="14.28515625" style="4" customWidth="1"/>
    <col min="6921" max="6921" width="16" style="4" bestFit="1" customWidth="1"/>
    <col min="6922" max="7171" width="9.140625" style="4"/>
    <col min="7172" max="7172" width="5" style="4" bestFit="1" customWidth="1"/>
    <col min="7173" max="7173" width="51.7109375" style="4" customWidth="1"/>
    <col min="7174" max="7174" width="9.140625" style="4"/>
    <col min="7175" max="7175" width="14.42578125" style="4" customWidth="1"/>
    <col min="7176" max="7176" width="14.28515625" style="4" customWidth="1"/>
    <col min="7177" max="7177" width="16" style="4" bestFit="1" customWidth="1"/>
    <col min="7178" max="7427" width="9.140625" style="4"/>
    <col min="7428" max="7428" width="5" style="4" bestFit="1" customWidth="1"/>
    <col min="7429" max="7429" width="51.7109375" style="4" customWidth="1"/>
    <col min="7430" max="7430" width="9.140625" style="4"/>
    <col min="7431" max="7431" width="14.42578125" style="4" customWidth="1"/>
    <col min="7432" max="7432" width="14.28515625" style="4" customWidth="1"/>
    <col min="7433" max="7433" width="16" style="4" bestFit="1" customWidth="1"/>
    <col min="7434" max="7683" width="9.140625" style="4"/>
    <col min="7684" max="7684" width="5" style="4" bestFit="1" customWidth="1"/>
    <col min="7685" max="7685" width="51.7109375" style="4" customWidth="1"/>
    <col min="7686" max="7686" width="9.140625" style="4"/>
    <col min="7687" max="7687" width="14.42578125" style="4" customWidth="1"/>
    <col min="7688" max="7688" width="14.28515625" style="4" customWidth="1"/>
    <col min="7689" max="7689" width="16" style="4" bestFit="1" customWidth="1"/>
    <col min="7690" max="7939" width="9.140625" style="4"/>
    <col min="7940" max="7940" width="5" style="4" bestFit="1" customWidth="1"/>
    <col min="7941" max="7941" width="51.7109375" style="4" customWidth="1"/>
    <col min="7942" max="7942" width="9.140625" style="4"/>
    <col min="7943" max="7943" width="14.42578125" style="4" customWidth="1"/>
    <col min="7944" max="7944" width="14.28515625" style="4" customWidth="1"/>
    <col min="7945" max="7945" width="16" style="4" bestFit="1" customWidth="1"/>
    <col min="7946" max="8195" width="9.140625" style="4"/>
    <col min="8196" max="8196" width="5" style="4" bestFit="1" customWidth="1"/>
    <col min="8197" max="8197" width="51.7109375" style="4" customWidth="1"/>
    <col min="8198" max="8198" width="9.140625" style="4"/>
    <col min="8199" max="8199" width="14.42578125" style="4" customWidth="1"/>
    <col min="8200" max="8200" width="14.28515625" style="4" customWidth="1"/>
    <col min="8201" max="8201" width="16" style="4" bestFit="1" customWidth="1"/>
    <col min="8202" max="8451" width="9.140625" style="4"/>
    <col min="8452" max="8452" width="5" style="4" bestFit="1" customWidth="1"/>
    <col min="8453" max="8453" width="51.7109375" style="4" customWidth="1"/>
    <col min="8454" max="8454" width="9.140625" style="4"/>
    <col min="8455" max="8455" width="14.42578125" style="4" customWidth="1"/>
    <col min="8456" max="8456" width="14.28515625" style="4" customWidth="1"/>
    <col min="8457" max="8457" width="16" style="4" bestFit="1" customWidth="1"/>
    <col min="8458" max="8707" width="9.140625" style="4"/>
    <col min="8708" max="8708" width="5" style="4" bestFit="1" customWidth="1"/>
    <col min="8709" max="8709" width="51.7109375" style="4" customWidth="1"/>
    <col min="8710" max="8710" width="9.140625" style="4"/>
    <col min="8711" max="8711" width="14.42578125" style="4" customWidth="1"/>
    <col min="8712" max="8712" width="14.28515625" style="4" customWidth="1"/>
    <col min="8713" max="8713" width="16" style="4" bestFit="1" customWidth="1"/>
    <col min="8714" max="8963" width="9.140625" style="4"/>
    <col min="8964" max="8964" width="5" style="4" bestFit="1" customWidth="1"/>
    <col min="8965" max="8965" width="51.7109375" style="4" customWidth="1"/>
    <col min="8966" max="8966" width="9.140625" style="4"/>
    <col min="8967" max="8967" width="14.42578125" style="4" customWidth="1"/>
    <col min="8968" max="8968" width="14.28515625" style="4" customWidth="1"/>
    <col min="8969" max="8969" width="16" style="4" bestFit="1" customWidth="1"/>
    <col min="8970" max="9219" width="9.140625" style="4"/>
    <col min="9220" max="9220" width="5" style="4" bestFit="1" customWidth="1"/>
    <col min="9221" max="9221" width="51.7109375" style="4" customWidth="1"/>
    <col min="9222" max="9222" width="9.140625" style="4"/>
    <col min="9223" max="9223" width="14.42578125" style="4" customWidth="1"/>
    <col min="9224" max="9224" width="14.28515625" style="4" customWidth="1"/>
    <col min="9225" max="9225" width="16" style="4" bestFit="1" customWidth="1"/>
    <col min="9226" max="9475" width="9.140625" style="4"/>
    <col min="9476" max="9476" width="5" style="4" bestFit="1" customWidth="1"/>
    <col min="9477" max="9477" width="51.7109375" style="4" customWidth="1"/>
    <col min="9478" max="9478" width="9.140625" style="4"/>
    <col min="9479" max="9479" width="14.42578125" style="4" customWidth="1"/>
    <col min="9480" max="9480" width="14.28515625" style="4" customWidth="1"/>
    <col min="9481" max="9481" width="16" style="4" bestFit="1" customWidth="1"/>
    <col min="9482" max="9731" width="9.140625" style="4"/>
    <col min="9732" max="9732" width="5" style="4" bestFit="1" customWidth="1"/>
    <col min="9733" max="9733" width="51.7109375" style="4" customWidth="1"/>
    <col min="9734" max="9734" width="9.140625" style="4"/>
    <col min="9735" max="9735" width="14.42578125" style="4" customWidth="1"/>
    <col min="9736" max="9736" width="14.28515625" style="4" customWidth="1"/>
    <col min="9737" max="9737" width="16" style="4" bestFit="1" customWidth="1"/>
    <col min="9738" max="9987" width="9.140625" style="4"/>
    <col min="9988" max="9988" width="5" style="4" bestFit="1" customWidth="1"/>
    <col min="9989" max="9989" width="51.7109375" style="4" customWidth="1"/>
    <col min="9990" max="9990" width="9.140625" style="4"/>
    <col min="9991" max="9991" width="14.42578125" style="4" customWidth="1"/>
    <col min="9992" max="9992" width="14.28515625" style="4" customWidth="1"/>
    <col min="9993" max="9993" width="16" style="4" bestFit="1" customWidth="1"/>
    <col min="9994" max="10243" width="9.140625" style="4"/>
    <col min="10244" max="10244" width="5" style="4" bestFit="1" customWidth="1"/>
    <col min="10245" max="10245" width="51.7109375" style="4" customWidth="1"/>
    <col min="10246" max="10246" width="9.140625" style="4"/>
    <col min="10247" max="10247" width="14.42578125" style="4" customWidth="1"/>
    <col min="10248" max="10248" width="14.28515625" style="4" customWidth="1"/>
    <col min="10249" max="10249" width="16" style="4" bestFit="1" customWidth="1"/>
    <col min="10250" max="10499" width="9.140625" style="4"/>
    <col min="10500" max="10500" width="5" style="4" bestFit="1" customWidth="1"/>
    <col min="10501" max="10501" width="51.7109375" style="4" customWidth="1"/>
    <col min="10502" max="10502" width="9.140625" style="4"/>
    <col min="10503" max="10503" width="14.42578125" style="4" customWidth="1"/>
    <col min="10504" max="10504" width="14.28515625" style="4" customWidth="1"/>
    <col min="10505" max="10505" width="16" style="4" bestFit="1" customWidth="1"/>
    <col min="10506" max="10755" width="9.140625" style="4"/>
    <col min="10756" max="10756" width="5" style="4" bestFit="1" customWidth="1"/>
    <col min="10757" max="10757" width="51.7109375" style="4" customWidth="1"/>
    <col min="10758" max="10758" width="9.140625" style="4"/>
    <col min="10759" max="10759" width="14.42578125" style="4" customWidth="1"/>
    <col min="10760" max="10760" width="14.28515625" style="4" customWidth="1"/>
    <col min="10761" max="10761" width="16" style="4" bestFit="1" customWidth="1"/>
    <col min="10762" max="11011" width="9.140625" style="4"/>
    <col min="11012" max="11012" width="5" style="4" bestFit="1" customWidth="1"/>
    <col min="11013" max="11013" width="51.7109375" style="4" customWidth="1"/>
    <col min="11014" max="11014" width="9.140625" style="4"/>
    <col min="11015" max="11015" width="14.42578125" style="4" customWidth="1"/>
    <col min="11016" max="11016" width="14.28515625" style="4" customWidth="1"/>
    <col min="11017" max="11017" width="16" style="4" bestFit="1" customWidth="1"/>
    <col min="11018" max="11267" width="9.140625" style="4"/>
    <col min="11268" max="11268" width="5" style="4" bestFit="1" customWidth="1"/>
    <col min="11269" max="11269" width="51.7109375" style="4" customWidth="1"/>
    <col min="11270" max="11270" width="9.140625" style="4"/>
    <col min="11271" max="11271" width="14.42578125" style="4" customWidth="1"/>
    <col min="11272" max="11272" width="14.28515625" style="4" customWidth="1"/>
    <col min="11273" max="11273" width="16" style="4" bestFit="1" customWidth="1"/>
    <col min="11274" max="11523" width="9.140625" style="4"/>
    <col min="11524" max="11524" width="5" style="4" bestFit="1" customWidth="1"/>
    <col min="11525" max="11525" width="51.7109375" style="4" customWidth="1"/>
    <col min="11526" max="11526" width="9.140625" style="4"/>
    <col min="11527" max="11527" width="14.42578125" style="4" customWidth="1"/>
    <col min="11528" max="11528" width="14.28515625" style="4" customWidth="1"/>
    <col min="11529" max="11529" width="16" style="4" bestFit="1" customWidth="1"/>
    <col min="11530" max="11779" width="9.140625" style="4"/>
    <col min="11780" max="11780" width="5" style="4" bestFit="1" customWidth="1"/>
    <col min="11781" max="11781" width="51.7109375" style="4" customWidth="1"/>
    <col min="11782" max="11782" width="9.140625" style="4"/>
    <col min="11783" max="11783" width="14.42578125" style="4" customWidth="1"/>
    <col min="11784" max="11784" width="14.28515625" style="4" customWidth="1"/>
    <col min="11785" max="11785" width="16" style="4" bestFit="1" customWidth="1"/>
    <col min="11786" max="12035" width="9.140625" style="4"/>
    <col min="12036" max="12036" width="5" style="4" bestFit="1" customWidth="1"/>
    <col min="12037" max="12037" width="51.7109375" style="4" customWidth="1"/>
    <col min="12038" max="12038" width="9.140625" style="4"/>
    <col min="12039" max="12039" width="14.42578125" style="4" customWidth="1"/>
    <col min="12040" max="12040" width="14.28515625" style="4" customWidth="1"/>
    <col min="12041" max="12041" width="16" style="4" bestFit="1" customWidth="1"/>
    <col min="12042" max="12291" width="9.140625" style="4"/>
    <col min="12292" max="12292" width="5" style="4" bestFit="1" customWidth="1"/>
    <col min="12293" max="12293" width="51.7109375" style="4" customWidth="1"/>
    <col min="12294" max="12294" width="9.140625" style="4"/>
    <col min="12295" max="12295" width="14.42578125" style="4" customWidth="1"/>
    <col min="12296" max="12296" width="14.28515625" style="4" customWidth="1"/>
    <col min="12297" max="12297" width="16" style="4" bestFit="1" customWidth="1"/>
    <col min="12298" max="12547" width="9.140625" style="4"/>
    <col min="12548" max="12548" width="5" style="4" bestFit="1" customWidth="1"/>
    <col min="12549" max="12549" width="51.7109375" style="4" customWidth="1"/>
    <col min="12550" max="12550" width="9.140625" style="4"/>
    <col min="12551" max="12551" width="14.42578125" style="4" customWidth="1"/>
    <col min="12552" max="12552" width="14.28515625" style="4" customWidth="1"/>
    <col min="12553" max="12553" width="16" style="4" bestFit="1" customWidth="1"/>
    <col min="12554" max="12803" width="9.140625" style="4"/>
    <col min="12804" max="12804" width="5" style="4" bestFit="1" customWidth="1"/>
    <col min="12805" max="12805" width="51.7109375" style="4" customWidth="1"/>
    <col min="12806" max="12806" width="9.140625" style="4"/>
    <col min="12807" max="12807" width="14.42578125" style="4" customWidth="1"/>
    <col min="12808" max="12808" width="14.28515625" style="4" customWidth="1"/>
    <col min="12809" max="12809" width="16" style="4" bestFit="1" customWidth="1"/>
    <col min="12810" max="13059" width="9.140625" style="4"/>
    <col min="13060" max="13060" width="5" style="4" bestFit="1" customWidth="1"/>
    <col min="13061" max="13061" width="51.7109375" style="4" customWidth="1"/>
    <col min="13062" max="13062" width="9.140625" style="4"/>
    <col min="13063" max="13063" width="14.42578125" style="4" customWidth="1"/>
    <col min="13064" max="13064" width="14.28515625" style="4" customWidth="1"/>
    <col min="13065" max="13065" width="16" style="4" bestFit="1" customWidth="1"/>
    <col min="13066" max="13315" width="9.140625" style="4"/>
    <col min="13316" max="13316" width="5" style="4" bestFit="1" customWidth="1"/>
    <col min="13317" max="13317" width="51.7109375" style="4" customWidth="1"/>
    <col min="13318" max="13318" width="9.140625" style="4"/>
    <col min="13319" max="13319" width="14.42578125" style="4" customWidth="1"/>
    <col min="13320" max="13320" width="14.28515625" style="4" customWidth="1"/>
    <col min="13321" max="13321" width="16" style="4" bestFit="1" customWidth="1"/>
    <col min="13322" max="13571" width="9.140625" style="4"/>
    <col min="13572" max="13572" width="5" style="4" bestFit="1" customWidth="1"/>
    <col min="13573" max="13573" width="51.7109375" style="4" customWidth="1"/>
    <col min="13574" max="13574" width="9.140625" style="4"/>
    <col min="13575" max="13575" width="14.42578125" style="4" customWidth="1"/>
    <col min="13576" max="13576" width="14.28515625" style="4" customWidth="1"/>
    <col min="13577" max="13577" width="16" style="4" bestFit="1" customWidth="1"/>
    <col min="13578" max="13827" width="9.140625" style="4"/>
    <col min="13828" max="13828" width="5" style="4" bestFit="1" customWidth="1"/>
    <col min="13829" max="13829" width="51.7109375" style="4" customWidth="1"/>
    <col min="13830" max="13830" width="9.140625" style="4"/>
    <col min="13831" max="13831" width="14.42578125" style="4" customWidth="1"/>
    <col min="13832" max="13832" width="14.28515625" style="4" customWidth="1"/>
    <col min="13833" max="13833" width="16" style="4" bestFit="1" customWidth="1"/>
    <col min="13834" max="14083" width="9.140625" style="4"/>
    <col min="14084" max="14084" width="5" style="4" bestFit="1" customWidth="1"/>
    <col min="14085" max="14085" width="51.7109375" style="4" customWidth="1"/>
    <col min="14086" max="14086" width="9.140625" style="4"/>
    <col min="14087" max="14087" width="14.42578125" style="4" customWidth="1"/>
    <col min="14088" max="14088" width="14.28515625" style="4" customWidth="1"/>
    <col min="14089" max="14089" width="16" style="4" bestFit="1" customWidth="1"/>
    <col min="14090" max="14339" width="9.140625" style="4"/>
    <col min="14340" max="14340" width="5" style="4" bestFit="1" customWidth="1"/>
    <col min="14341" max="14341" width="51.7109375" style="4" customWidth="1"/>
    <col min="14342" max="14342" width="9.140625" style="4"/>
    <col min="14343" max="14343" width="14.42578125" style="4" customWidth="1"/>
    <col min="14344" max="14344" width="14.28515625" style="4" customWidth="1"/>
    <col min="14345" max="14345" width="16" style="4" bestFit="1" customWidth="1"/>
    <col min="14346" max="14595" width="9.140625" style="4"/>
    <col min="14596" max="14596" width="5" style="4" bestFit="1" customWidth="1"/>
    <col min="14597" max="14597" width="51.7109375" style="4" customWidth="1"/>
    <col min="14598" max="14598" width="9.140625" style="4"/>
    <col min="14599" max="14599" width="14.42578125" style="4" customWidth="1"/>
    <col min="14600" max="14600" width="14.28515625" style="4" customWidth="1"/>
    <col min="14601" max="14601" width="16" style="4" bestFit="1" customWidth="1"/>
    <col min="14602" max="14851" width="9.140625" style="4"/>
    <col min="14852" max="14852" width="5" style="4" bestFit="1" customWidth="1"/>
    <col min="14853" max="14853" width="51.7109375" style="4" customWidth="1"/>
    <col min="14854" max="14854" width="9.140625" style="4"/>
    <col min="14855" max="14855" width="14.42578125" style="4" customWidth="1"/>
    <col min="14856" max="14856" width="14.28515625" style="4" customWidth="1"/>
    <col min="14857" max="14857" width="16" style="4" bestFit="1" customWidth="1"/>
    <col min="14858" max="15107" width="9.140625" style="4"/>
    <col min="15108" max="15108" width="5" style="4" bestFit="1" customWidth="1"/>
    <col min="15109" max="15109" width="51.7109375" style="4" customWidth="1"/>
    <col min="15110" max="15110" width="9.140625" style="4"/>
    <col min="15111" max="15111" width="14.42578125" style="4" customWidth="1"/>
    <col min="15112" max="15112" width="14.28515625" style="4" customWidth="1"/>
    <col min="15113" max="15113" width="16" style="4" bestFit="1" customWidth="1"/>
    <col min="15114" max="15363" width="9.140625" style="4"/>
    <col min="15364" max="15364" width="5" style="4" bestFit="1" customWidth="1"/>
    <col min="15365" max="15365" width="51.7109375" style="4" customWidth="1"/>
    <col min="15366" max="15366" width="9.140625" style="4"/>
    <col min="15367" max="15367" width="14.42578125" style="4" customWidth="1"/>
    <col min="15368" max="15368" width="14.28515625" style="4" customWidth="1"/>
    <col min="15369" max="15369" width="16" style="4" bestFit="1" customWidth="1"/>
    <col min="15370" max="15619" width="9.140625" style="4"/>
    <col min="15620" max="15620" width="5" style="4" bestFit="1" customWidth="1"/>
    <col min="15621" max="15621" width="51.7109375" style="4" customWidth="1"/>
    <col min="15622" max="15622" width="9.140625" style="4"/>
    <col min="15623" max="15623" width="14.42578125" style="4" customWidth="1"/>
    <col min="15624" max="15624" width="14.28515625" style="4" customWidth="1"/>
    <col min="15625" max="15625" width="16" style="4" bestFit="1" customWidth="1"/>
    <col min="15626" max="15875" width="9.140625" style="4"/>
    <col min="15876" max="15876" width="5" style="4" bestFit="1" customWidth="1"/>
    <col min="15877" max="15877" width="51.7109375" style="4" customWidth="1"/>
    <col min="15878" max="15878" width="9.140625" style="4"/>
    <col min="15879" max="15879" width="14.42578125" style="4" customWidth="1"/>
    <col min="15880" max="15880" width="14.28515625" style="4" customWidth="1"/>
    <col min="15881" max="15881" width="16" style="4" bestFit="1" customWidth="1"/>
    <col min="15882" max="16131" width="9.140625" style="4"/>
    <col min="16132" max="16132" width="5" style="4" bestFit="1" customWidth="1"/>
    <col min="16133" max="16133" width="51.7109375" style="4" customWidth="1"/>
    <col min="16134" max="16134" width="9.140625" style="4"/>
    <col min="16135" max="16135" width="14.42578125" style="4" customWidth="1"/>
    <col min="16136" max="16136" width="14.28515625" style="4" customWidth="1"/>
    <col min="16137" max="16137" width="16" style="4" bestFit="1" customWidth="1"/>
    <col min="16138" max="16384" width="9.140625" style="4"/>
  </cols>
  <sheetData>
    <row r="1" spans="1:24" x14ac:dyDescent="0.2">
      <c r="B1" s="114" t="s">
        <v>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x14ac:dyDescent="0.2">
      <c r="B2" s="114" t="s">
        <v>13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24" x14ac:dyDescent="0.2">
      <c r="B3" s="115" t="s">
        <v>17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4" x14ac:dyDescent="0.2">
      <c r="A4" s="6" t="s">
        <v>11</v>
      </c>
      <c r="D4" s="80"/>
      <c r="F4" s="7"/>
    </row>
    <row r="5" spans="1:24" x14ac:dyDescent="0.2">
      <c r="A5" s="8" t="s">
        <v>12</v>
      </c>
      <c r="D5" s="116" t="s">
        <v>40</v>
      </c>
      <c r="E5" s="117"/>
      <c r="F5" s="118"/>
      <c r="H5" s="116" t="s">
        <v>41</v>
      </c>
      <c r="I5" s="117"/>
      <c r="J5" s="118"/>
      <c r="L5" s="116" t="s">
        <v>16</v>
      </c>
      <c r="M5" s="117"/>
      <c r="N5" s="118"/>
      <c r="P5" s="116" t="s">
        <v>42</v>
      </c>
      <c r="Q5" s="117"/>
      <c r="R5" s="118"/>
      <c r="S5" s="108"/>
      <c r="T5" s="116" t="s">
        <v>58</v>
      </c>
      <c r="U5" s="117"/>
      <c r="V5" s="118"/>
      <c r="X5" s="67" t="s">
        <v>44</v>
      </c>
    </row>
    <row r="6" spans="1:24" ht="38.25" x14ac:dyDescent="0.2">
      <c r="D6" s="9" t="s">
        <v>18</v>
      </c>
      <c r="E6" s="9" t="s">
        <v>19</v>
      </c>
      <c r="F6" s="9" t="s">
        <v>0</v>
      </c>
      <c r="H6" s="9" t="s">
        <v>18</v>
      </c>
      <c r="I6" s="9" t="s">
        <v>19</v>
      </c>
      <c r="J6" s="9" t="s">
        <v>0</v>
      </c>
      <c r="L6" s="9" t="s">
        <v>18</v>
      </c>
      <c r="M6" s="9" t="s">
        <v>19</v>
      </c>
      <c r="N6" s="9" t="s">
        <v>0</v>
      </c>
      <c r="P6" s="9" t="s">
        <v>18</v>
      </c>
      <c r="Q6" s="9" t="s">
        <v>19</v>
      </c>
      <c r="R6" s="9" t="s">
        <v>0</v>
      </c>
      <c r="S6" s="9"/>
      <c r="T6" s="9" t="s">
        <v>18</v>
      </c>
      <c r="U6" s="9" t="s">
        <v>19</v>
      </c>
      <c r="V6" s="9" t="s">
        <v>0</v>
      </c>
      <c r="X6" s="9" t="s">
        <v>0</v>
      </c>
    </row>
    <row r="7" spans="1:24" x14ac:dyDescent="0.2">
      <c r="A7" s="6">
        <v>1</v>
      </c>
      <c r="B7" s="4" t="s">
        <v>2</v>
      </c>
      <c r="D7" s="10">
        <f>(D15/15)*(10.5/12)</f>
        <v>4400542</v>
      </c>
      <c r="E7" s="10">
        <f>(E15/4.219)*(10.5/12)</f>
        <v>1738383</v>
      </c>
      <c r="F7" s="48">
        <f>SUM(D7:E7)</f>
        <v>6138925</v>
      </c>
      <c r="H7" s="10">
        <f>(H15/15)*(9.5/12)</f>
        <v>190000</v>
      </c>
      <c r="I7" s="10">
        <f>(I15/4.219)*(9.5/12)</f>
        <v>75057</v>
      </c>
      <c r="J7" s="48">
        <f>SUM(H7:I7)</f>
        <v>265057</v>
      </c>
      <c r="L7" s="10">
        <f>(L15/15)*(8.5/12)</f>
        <v>110500</v>
      </c>
      <c r="M7" s="10">
        <f>(M15/4.219)*(8.5/12)</f>
        <v>43652</v>
      </c>
      <c r="N7" s="48">
        <f>SUM(L7:M7)</f>
        <v>154152</v>
      </c>
      <c r="P7" s="10">
        <f>(P15/15)*(7.5/12)</f>
        <v>175818</v>
      </c>
      <c r="Q7" s="10">
        <f>(Q15/4.219)*(7.5/12)</f>
        <v>69455</v>
      </c>
      <c r="R7" s="48">
        <f>SUM(P7:Q7)</f>
        <v>245273</v>
      </c>
      <c r="S7" s="48"/>
      <c r="T7" s="10">
        <f>(T15/15)*(7.5/12)</f>
        <v>-701325</v>
      </c>
      <c r="U7" s="10">
        <f>(U15/4.219)*(7.5/12)</f>
        <v>-277050</v>
      </c>
      <c r="V7" s="48">
        <f>SUM(T7:U7)</f>
        <v>-978375</v>
      </c>
      <c r="X7" s="48">
        <f>R7+N7+J7+F7+V7</f>
        <v>5825032</v>
      </c>
    </row>
    <row r="8" spans="1:24" x14ac:dyDescent="0.2">
      <c r="A8" s="6">
        <v>2</v>
      </c>
      <c r="B8" s="4" t="s">
        <v>20</v>
      </c>
      <c r="D8" s="11">
        <v>0</v>
      </c>
      <c r="E8" s="11">
        <f>ROUND(E15*0.015,0)</f>
        <v>125730</v>
      </c>
      <c r="F8" s="49">
        <f>SUM(D8:E8)</f>
        <v>125730</v>
      </c>
      <c r="H8" s="11">
        <v>0</v>
      </c>
      <c r="I8" s="11">
        <f>ROUND(I15*0.015,0)</f>
        <v>6000</v>
      </c>
      <c r="J8" s="49">
        <f>SUM(H8:I8)</f>
        <v>6000</v>
      </c>
      <c r="L8" s="11">
        <v>0</v>
      </c>
      <c r="M8" s="11">
        <f>ROUND(M15*0.015,0)</f>
        <v>3900</v>
      </c>
      <c r="N8" s="49">
        <f>SUM(L8:M8)</f>
        <v>3900</v>
      </c>
      <c r="P8" s="11">
        <v>0</v>
      </c>
      <c r="Q8" s="11">
        <f>ROUND(Q15*0.015,0)</f>
        <v>7033</v>
      </c>
      <c r="R8" s="49">
        <f>SUM(P8:Q8)</f>
        <v>7033</v>
      </c>
      <c r="S8" s="52"/>
      <c r="T8" s="11">
        <v>0</v>
      </c>
      <c r="U8" s="11">
        <f>ROUND(U15*0.015,0)</f>
        <v>-28053</v>
      </c>
      <c r="V8" s="49">
        <f>SUM(T8:U8)</f>
        <v>-28053</v>
      </c>
      <c r="X8" s="49">
        <f>R8+N8+J8+F8+V8</f>
        <v>114610</v>
      </c>
    </row>
    <row r="9" spans="1:24" x14ac:dyDescent="0.2">
      <c r="A9" s="6">
        <v>3</v>
      </c>
      <c r="B9" s="4" t="s">
        <v>3</v>
      </c>
      <c r="D9" s="12">
        <f>SUM(D7:D8)</f>
        <v>4400542</v>
      </c>
      <c r="E9" s="12">
        <f>SUM(E7:E8)</f>
        <v>1864113</v>
      </c>
      <c r="F9" s="50">
        <f>SUM(F7:F8)</f>
        <v>6264655</v>
      </c>
      <c r="H9" s="12">
        <f>SUM(H7:H8)</f>
        <v>190000</v>
      </c>
      <c r="I9" s="12">
        <f>SUM(I7:I8)</f>
        <v>81057</v>
      </c>
      <c r="J9" s="50">
        <f>SUM(J7:J8)</f>
        <v>271057</v>
      </c>
      <c r="L9" s="12">
        <f>SUM(L7:L8)</f>
        <v>110500</v>
      </c>
      <c r="M9" s="12">
        <f>SUM(M7:M8)</f>
        <v>47552</v>
      </c>
      <c r="N9" s="50">
        <f>SUM(N7:N8)</f>
        <v>158052</v>
      </c>
      <c r="P9" s="12">
        <f>SUM(P7:P8)</f>
        <v>175818</v>
      </c>
      <c r="Q9" s="12">
        <f>SUM(Q7:Q8)</f>
        <v>76488</v>
      </c>
      <c r="R9" s="50">
        <f>SUM(R7:R8)</f>
        <v>252306</v>
      </c>
      <c r="S9" s="52"/>
      <c r="T9" s="12">
        <f>SUM(T7:T8)</f>
        <v>-701325</v>
      </c>
      <c r="U9" s="12">
        <f>SUM(U7:U8)</f>
        <v>-305103</v>
      </c>
      <c r="V9" s="50">
        <f>SUM(V7:V8)</f>
        <v>-1006428</v>
      </c>
      <c r="X9" s="50">
        <f>SUM(X7:X8)</f>
        <v>5939642</v>
      </c>
    </row>
    <row r="10" spans="1:24" x14ac:dyDescent="0.2">
      <c r="A10" s="6">
        <v>4</v>
      </c>
      <c r="B10" s="4" t="s">
        <v>4</v>
      </c>
      <c r="D10" s="13">
        <f>-D9</f>
        <v>-4400542</v>
      </c>
      <c r="E10" s="13">
        <f>-E9</f>
        <v>-1864113</v>
      </c>
      <c r="F10" s="51">
        <f>-F9</f>
        <v>-6264655</v>
      </c>
      <c r="H10" s="13">
        <f>-H9</f>
        <v>-190000</v>
      </c>
      <c r="I10" s="13">
        <f>-I9</f>
        <v>-81057</v>
      </c>
      <c r="J10" s="51">
        <f>-J9</f>
        <v>-271057</v>
      </c>
      <c r="L10" s="13">
        <f>-L9</f>
        <v>-110500</v>
      </c>
      <c r="M10" s="13">
        <f>-M9</f>
        <v>-47552</v>
      </c>
      <c r="N10" s="51">
        <f>-N9</f>
        <v>-158052</v>
      </c>
      <c r="P10" s="13">
        <f>-P9</f>
        <v>-175818</v>
      </c>
      <c r="Q10" s="13">
        <f>-Q9</f>
        <v>-76488</v>
      </c>
      <c r="R10" s="51">
        <f>-R9</f>
        <v>-252306</v>
      </c>
      <c r="S10" s="51"/>
      <c r="T10" s="13">
        <f>-T9</f>
        <v>701325</v>
      </c>
      <c r="U10" s="13">
        <f>-U9</f>
        <v>305103</v>
      </c>
      <c r="V10" s="51">
        <f>-V9</f>
        <v>1006428</v>
      </c>
      <c r="X10" s="51">
        <f>-X9</f>
        <v>-5939642</v>
      </c>
    </row>
    <row r="11" spans="1:24" x14ac:dyDescent="0.2">
      <c r="A11" s="6">
        <v>5</v>
      </c>
      <c r="B11" s="4" t="s">
        <v>5</v>
      </c>
      <c r="D11" s="14">
        <f>D10*-0.35</f>
        <v>1540190</v>
      </c>
      <c r="E11" s="14">
        <f>E10*-0.35</f>
        <v>652440</v>
      </c>
      <c r="F11" s="52">
        <f>SUM(D11:E11)</f>
        <v>2192630</v>
      </c>
      <c r="H11" s="14">
        <f>H10*-0.35</f>
        <v>66500</v>
      </c>
      <c r="I11" s="14">
        <f>I10*-0.35</f>
        <v>28370</v>
      </c>
      <c r="J11" s="52">
        <f>SUM(H11:I11)</f>
        <v>94870</v>
      </c>
      <c r="L11" s="14">
        <f>L10*-0.35</f>
        <v>38675</v>
      </c>
      <c r="M11" s="14">
        <f>M10*-0.35</f>
        <v>16643</v>
      </c>
      <c r="N11" s="52">
        <f>SUM(L11:M11)</f>
        <v>55318</v>
      </c>
      <c r="P11" s="14">
        <f>P10*-0.35</f>
        <v>61536</v>
      </c>
      <c r="Q11" s="14">
        <f>Q10*-0.35</f>
        <v>26771</v>
      </c>
      <c r="R11" s="52">
        <f>SUM(P11:Q11)</f>
        <v>88307</v>
      </c>
      <c r="S11" s="52"/>
      <c r="T11" s="14">
        <f>T10*-0.35</f>
        <v>-245464</v>
      </c>
      <c r="U11" s="14">
        <f>U10*-0.35</f>
        <v>-106786</v>
      </c>
      <c r="V11" s="52">
        <f>SUM(T11:U11)</f>
        <v>-352250</v>
      </c>
      <c r="X11" s="49">
        <f>R11+N11+J11+F11+V11</f>
        <v>2078875</v>
      </c>
    </row>
    <row r="12" spans="1:24" x14ac:dyDescent="0.2">
      <c r="A12" s="6">
        <v>6</v>
      </c>
      <c r="B12" s="4" t="s">
        <v>7</v>
      </c>
      <c r="D12" s="14">
        <f>D37</f>
        <v>677282</v>
      </c>
      <c r="E12" s="14">
        <f>E37</f>
        <v>73205</v>
      </c>
      <c r="F12" s="52">
        <f>SUM(D12:E12)</f>
        <v>750487</v>
      </c>
      <c r="H12" s="14">
        <f>H37</f>
        <v>32384</v>
      </c>
      <c r="I12" s="14">
        <f>I37</f>
        <v>3519</v>
      </c>
      <c r="J12" s="52">
        <f>SUM(H12:I12)</f>
        <v>35903</v>
      </c>
      <c r="L12" s="14">
        <f>L37</f>
        <v>21091</v>
      </c>
      <c r="M12" s="14">
        <f>M37</f>
        <v>2303</v>
      </c>
      <c r="N12" s="52">
        <f>SUM(L12:M12)</f>
        <v>23394</v>
      </c>
      <c r="P12" s="14">
        <f>P37</f>
        <v>38106</v>
      </c>
      <c r="Q12" s="14">
        <f>Q37</f>
        <v>4183</v>
      </c>
      <c r="R12" s="52">
        <f>SUM(P12:Q12)</f>
        <v>42289</v>
      </c>
      <c r="S12" s="52"/>
      <c r="T12" s="14">
        <f>T37</f>
        <v>-152003</v>
      </c>
      <c r="U12" s="14">
        <f>U37</f>
        <v>-16684</v>
      </c>
      <c r="V12" s="52">
        <f>SUM(T12:U12)</f>
        <v>-168687</v>
      </c>
      <c r="X12" s="49">
        <f>R12+N12+J12+F12+V12</f>
        <v>683386</v>
      </c>
    </row>
    <row r="13" spans="1:24" ht="13.5" thickBot="1" x14ac:dyDescent="0.25">
      <c r="A13" s="6">
        <v>7</v>
      </c>
      <c r="B13" s="15" t="s">
        <v>8</v>
      </c>
      <c r="C13" s="15"/>
      <c r="D13" s="16">
        <f>SUM(D10:D12)</f>
        <v>-2183070</v>
      </c>
      <c r="E13" s="16">
        <f>SUM(E10:E12)</f>
        <v>-1138468</v>
      </c>
      <c r="F13" s="53">
        <f>SUM(F10:F12)</f>
        <v>-3321538</v>
      </c>
      <c r="H13" s="16">
        <f>SUM(H10:H12)</f>
        <v>-91116</v>
      </c>
      <c r="I13" s="16">
        <f>SUM(I10:I12)</f>
        <v>-49168</v>
      </c>
      <c r="J13" s="53">
        <f>SUM(J10:J12)</f>
        <v>-140284</v>
      </c>
      <c r="L13" s="16">
        <f>SUM(L10:L12)</f>
        <v>-50734</v>
      </c>
      <c r="M13" s="16">
        <f>SUM(M10:M12)</f>
        <v>-28606</v>
      </c>
      <c r="N13" s="53">
        <f>SUM(N10:N12)</f>
        <v>-79340</v>
      </c>
      <c r="P13" s="16">
        <f>SUM(P10:P12)</f>
        <v>-76176</v>
      </c>
      <c r="Q13" s="16">
        <f>SUM(Q10:Q12)</f>
        <v>-45534</v>
      </c>
      <c r="R13" s="53">
        <f>SUM(R10:R12)</f>
        <v>-121710</v>
      </c>
      <c r="S13" s="61"/>
      <c r="T13" s="16">
        <f>SUM(T10:T12)</f>
        <v>303858</v>
      </c>
      <c r="U13" s="16">
        <f>SUM(U10:U12)</f>
        <v>181633</v>
      </c>
      <c r="V13" s="53">
        <f>SUM(V10:V12)</f>
        <v>485491</v>
      </c>
      <c r="X13" s="53">
        <f>SUM(X10:X12)</f>
        <v>-3177381</v>
      </c>
    </row>
    <row r="14" spans="1:24" x14ac:dyDescent="0.2">
      <c r="B14" s="17"/>
      <c r="C14" s="15"/>
      <c r="D14" s="18"/>
      <c r="E14" s="18"/>
      <c r="F14" s="54"/>
      <c r="H14" s="18"/>
      <c r="I14" s="18"/>
      <c r="J14" s="54"/>
      <c r="L14" s="18"/>
      <c r="M14" s="18"/>
      <c r="N14" s="54"/>
      <c r="P14" s="18"/>
      <c r="Q14" s="18"/>
      <c r="R14" s="54"/>
      <c r="S14" s="54"/>
      <c r="T14" s="18"/>
      <c r="U14" s="18"/>
      <c r="V14" s="54"/>
      <c r="X14" s="54"/>
    </row>
    <row r="15" spans="1:24" x14ac:dyDescent="0.2">
      <c r="A15" s="6">
        <v>8</v>
      </c>
      <c r="B15" s="15" t="s">
        <v>21</v>
      </c>
      <c r="C15" s="15"/>
      <c r="D15" s="78">
        <f>75437860</f>
        <v>75437860</v>
      </c>
      <c r="E15" s="78">
        <v>8381984</v>
      </c>
      <c r="F15" s="55">
        <f>SUM(D15:E15)</f>
        <v>83819844</v>
      </c>
      <c r="H15" s="78">
        <v>3600000</v>
      </c>
      <c r="I15" s="78">
        <v>400000</v>
      </c>
      <c r="J15" s="55">
        <f>SUM(H15:I15)</f>
        <v>4000000</v>
      </c>
      <c r="L15" s="78">
        <v>2340000</v>
      </c>
      <c r="M15" s="78">
        <v>260000</v>
      </c>
      <c r="N15" s="55">
        <f>SUM(L15:M15)</f>
        <v>2600000</v>
      </c>
      <c r="P15" s="78">
        <v>4219629</v>
      </c>
      <c r="Q15" s="78">
        <v>468848</v>
      </c>
      <c r="R15" s="55">
        <f>SUM(P15:Q15)</f>
        <v>4688477</v>
      </c>
      <c r="S15" s="55"/>
      <c r="T15" s="78">
        <f>0.9*'G-PCD'!F5</f>
        <v>-16831800</v>
      </c>
      <c r="U15" s="78">
        <f>0.1*'G-PCD'!F5</f>
        <v>-1870200</v>
      </c>
      <c r="V15" s="55">
        <f>SUM(T15:U15)</f>
        <v>-18702000</v>
      </c>
      <c r="X15" s="52">
        <f>R15+N15+J15+F15+V15</f>
        <v>76406321</v>
      </c>
    </row>
    <row r="16" spans="1:24" x14ac:dyDescent="0.2">
      <c r="A16" s="6">
        <v>9</v>
      </c>
      <c r="B16" s="15" t="s">
        <v>22</v>
      </c>
      <c r="C16" s="15"/>
      <c r="D16" s="19">
        <f>-D7*0.5</f>
        <v>-2200271</v>
      </c>
      <c r="E16" s="19">
        <f>-E7*0.5</f>
        <v>-869192</v>
      </c>
      <c r="F16" s="56">
        <f>SUM(D16:E16)</f>
        <v>-3069463</v>
      </c>
      <c r="H16" s="19">
        <f>-H7*0.5</f>
        <v>-95000</v>
      </c>
      <c r="I16" s="19">
        <f>-I7*0.5</f>
        <v>-37529</v>
      </c>
      <c r="J16" s="56">
        <f>SUM(H16:I16)</f>
        <v>-132529</v>
      </c>
      <c r="L16" s="19">
        <f>-L7*0.5</f>
        <v>-55250</v>
      </c>
      <c r="M16" s="19">
        <f>-M7*0.5</f>
        <v>-21826</v>
      </c>
      <c r="N16" s="56">
        <f>SUM(L16:M16)</f>
        <v>-77076</v>
      </c>
      <c r="P16" s="19">
        <f>-P7*0.5</f>
        <v>-87909</v>
      </c>
      <c r="Q16" s="19">
        <f>-Q7*0.5</f>
        <v>-34728</v>
      </c>
      <c r="R16" s="56">
        <f>SUM(P16:Q16)</f>
        <v>-122637</v>
      </c>
      <c r="S16" s="56"/>
      <c r="T16" s="19">
        <f>-T7*0.5</f>
        <v>350663</v>
      </c>
      <c r="U16" s="19">
        <f>-U7*0.5</f>
        <v>138525</v>
      </c>
      <c r="V16" s="56">
        <f>SUM(T16:U16)</f>
        <v>489188</v>
      </c>
      <c r="X16" s="52">
        <f>R16+N16+J16+F16+V16</f>
        <v>-2912517</v>
      </c>
    </row>
    <row r="17" spans="1:25" x14ac:dyDescent="0.2">
      <c r="A17" s="6">
        <v>10</v>
      </c>
      <c r="B17" s="15" t="s">
        <v>23</v>
      </c>
      <c r="C17" s="15"/>
      <c r="D17" s="20">
        <f>(((D15*0.3333)-(D7))*-0.35)/2</f>
        <v>-3630007</v>
      </c>
      <c r="E17" s="20">
        <f>(((E15*0.2)-(E7))*-0.35)/2</f>
        <v>10848</v>
      </c>
      <c r="F17" s="57">
        <f>SUM(D17:E17)</f>
        <v>-3619159</v>
      </c>
      <c r="H17" s="20">
        <f>(((H15*0.3333)-(H7))*-0.35)/2</f>
        <v>-176729</v>
      </c>
      <c r="I17" s="20">
        <f>(((I15*0.2)-(I7))*-0.35)/2</f>
        <v>-865</v>
      </c>
      <c r="J17" s="57">
        <f>SUM(H17:I17)</f>
        <v>-177594</v>
      </c>
      <c r="L17" s="20">
        <f>(((L15*0.3333)-(L7))*-0.35)/2</f>
        <v>-117149</v>
      </c>
      <c r="M17" s="20">
        <f>(((M15*0.2)-(M7))*-0.35)/2</f>
        <v>-1461</v>
      </c>
      <c r="N17" s="57">
        <f>SUM(L17:M17)</f>
        <v>-118610</v>
      </c>
      <c r="P17" s="20">
        <f>(((P15*0.3333)-(P7))*-0.35)/2</f>
        <v>-215352</v>
      </c>
      <c r="Q17" s="20">
        <f>(((Q15*0.2)-(Q7))*-0.35)/2</f>
        <v>-4255</v>
      </c>
      <c r="R17" s="57">
        <f>SUM(P17:Q17)</f>
        <v>-219607</v>
      </c>
      <c r="S17" s="109"/>
      <c r="T17" s="20">
        <f>(((T15*0.3333)-(T7))*-0.35)/2</f>
        <v>859025</v>
      </c>
      <c r="U17" s="20">
        <f>(((U15*0.2)-(U7))*-0.35)/2</f>
        <v>16973</v>
      </c>
      <c r="V17" s="57">
        <f>SUM(T17:U17)</f>
        <v>875998</v>
      </c>
      <c r="X17" s="49">
        <f>R17+N17+J17+F17+V17</f>
        <v>-3258972</v>
      </c>
    </row>
    <row r="18" spans="1:25" x14ac:dyDescent="0.2">
      <c r="A18" s="6">
        <v>11</v>
      </c>
      <c r="B18" s="15" t="s">
        <v>6</v>
      </c>
      <c r="C18" s="15"/>
      <c r="D18" s="21">
        <f>SUM(D15:D17)</f>
        <v>69607582</v>
      </c>
      <c r="E18" s="21">
        <f>SUM(E15:E17)</f>
        <v>7523640</v>
      </c>
      <c r="F18" s="58">
        <f>SUM(F15:F17)</f>
        <v>77131222</v>
      </c>
      <c r="H18" s="21">
        <f>SUM(H15:H17)</f>
        <v>3328271</v>
      </c>
      <c r="I18" s="21">
        <f>SUM(I15:I17)</f>
        <v>361606</v>
      </c>
      <c r="J18" s="58">
        <f>SUM(J15:J17)</f>
        <v>3689877</v>
      </c>
      <c r="L18" s="21">
        <f>SUM(L15:L17)</f>
        <v>2167601</v>
      </c>
      <c r="M18" s="21">
        <f>SUM(M15:M17)</f>
        <v>236713</v>
      </c>
      <c r="N18" s="58">
        <f>SUM(N15:N17)</f>
        <v>2404314</v>
      </c>
      <c r="P18" s="21">
        <f>SUM(P15:P17)</f>
        <v>3916368</v>
      </c>
      <c r="Q18" s="21">
        <f>SUM(Q15:Q17)</f>
        <v>429865</v>
      </c>
      <c r="R18" s="58">
        <f>SUM(R15:R17)</f>
        <v>4346233</v>
      </c>
      <c r="S18" s="58"/>
      <c r="T18" s="21">
        <f>SUM(T15:T17)</f>
        <v>-15622112</v>
      </c>
      <c r="U18" s="21">
        <f>SUM(U15:U17)</f>
        <v>-1714702</v>
      </c>
      <c r="V18" s="58">
        <f>SUM(V15:V17)</f>
        <v>-17336814</v>
      </c>
      <c r="X18" s="58">
        <f>SUM(X15:X17)</f>
        <v>70234832</v>
      </c>
    </row>
    <row r="19" spans="1:25" x14ac:dyDescent="0.2">
      <c r="A19" s="6">
        <v>12</v>
      </c>
      <c r="B19" s="15" t="s">
        <v>24</v>
      </c>
      <c r="C19" s="15"/>
      <c r="D19" s="22">
        <v>7.3200000000000001E-2</v>
      </c>
      <c r="E19" s="22">
        <f>D19</f>
        <v>7.3200000000000001E-2</v>
      </c>
      <c r="F19" s="59">
        <f>E19</f>
        <v>7.3200000000000001E-2</v>
      </c>
      <c r="H19" s="22">
        <v>7.3200000000000001E-2</v>
      </c>
      <c r="I19" s="22">
        <f>H19</f>
        <v>7.3200000000000001E-2</v>
      </c>
      <c r="J19" s="59">
        <f>I19</f>
        <v>7.3200000000000001E-2</v>
      </c>
      <c r="L19" s="22">
        <v>7.3200000000000001E-2</v>
      </c>
      <c r="M19" s="22">
        <f>L19</f>
        <v>7.3200000000000001E-2</v>
      </c>
      <c r="N19" s="59">
        <f>M19</f>
        <v>7.3200000000000001E-2</v>
      </c>
      <c r="P19" s="22">
        <v>7.3200000000000001E-2</v>
      </c>
      <c r="Q19" s="22">
        <f>P19</f>
        <v>7.3200000000000001E-2</v>
      </c>
      <c r="R19" s="59">
        <f>Q19</f>
        <v>7.3200000000000001E-2</v>
      </c>
      <c r="S19" s="110"/>
      <c r="T19" s="22">
        <v>7.3200000000000001E-2</v>
      </c>
      <c r="U19" s="22">
        <f>T19</f>
        <v>7.3200000000000001E-2</v>
      </c>
      <c r="V19" s="59">
        <f>R19</f>
        <v>7.3200000000000001E-2</v>
      </c>
      <c r="X19" s="59">
        <f>V19</f>
        <v>7.3200000000000001E-2</v>
      </c>
    </row>
    <row r="20" spans="1:25" ht="13.5" thickBot="1" x14ac:dyDescent="0.25">
      <c r="A20" s="6">
        <v>13</v>
      </c>
      <c r="B20" s="15" t="s">
        <v>9</v>
      </c>
      <c r="C20" s="15"/>
      <c r="D20" s="23">
        <f>D18*D19</f>
        <v>5095275</v>
      </c>
      <c r="E20" s="23">
        <f>E18*E19</f>
        <v>550730</v>
      </c>
      <c r="F20" s="60">
        <f>F18*F19</f>
        <v>5646005</v>
      </c>
      <c r="H20" s="23">
        <f>H18*H19</f>
        <v>243629</v>
      </c>
      <c r="I20" s="23">
        <f>I18*I19</f>
        <v>26470</v>
      </c>
      <c r="J20" s="60">
        <f>J18*J19</f>
        <v>270099</v>
      </c>
      <c r="L20" s="23">
        <f>L18*L19</f>
        <v>158668</v>
      </c>
      <c r="M20" s="23">
        <f>M18*M19</f>
        <v>17327</v>
      </c>
      <c r="N20" s="60">
        <f>N18*N19</f>
        <v>175996</v>
      </c>
      <c r="P20" s="23">
        <f>P18*P19</f>
        <v>286678</v>
      </c>
      <c r="Q20" s="23">
        <f>Q18*Q19</f>
        <v>31466</v>
      </c>
      <c r="R20" s="60">
        <f>R18*R19</f>
        <v>318144</v>
      </c>
      <c r="S20" s="61"/>
      <c r="T20" s="23">
        <f>T18*T19</f>
        <v>-1143539</v>
      </c>
      <c r="U20" s="23">
        <f>U18*U19</f>
        <v>-125516</v>
      </c>
      <c r="V20" s="60">
        <f>V18*V19</f>
        <v>-1269055</v>
      </c>
      <c r="X20" s="60">
        <f>X18*X19</f>
        <v>5141190</v>
      </c>
    </row>
    <row r="21" spans="1:25" x14ac:dyDescent="0.2">
      <c r="B21" s="15"/>
      <c r="C21" s="15"/>
      <c r="D21" s="24"/>
      <c r="E21" s="24"/>
      <c r="F21" s="61"/>
      <c r="H21" s="24"/>
      <c r="I21" s="24"/>
      <c r="J21" s="61"/>
      <c r="L21" s="24"/>
      <c r="M21" s="24"/>
      <c r="N21" s="61"/>
      <c r="P21" s="24"/>
      <c r="Q21" s="24"/>
      <c r="R21" s="61"/>
      <c r="S21" s="61"/>
      <c r="T21" s="24"/>
      <c r="U21" s="24"/>
      <c r="V21" s="61"/>
      <c r="X21" s="61"/>
    </row>
    <row r="22" spans="1:25" x14ac:dyDescent="0.2">
      <c r="A22" s="6">
        <v>14</v>
      </c>
      <c r="B22" s="25" t="s">
        <v>10</v>
      </c>
      <c r="C22" s="15"/>
      <c r="D22" s="24">
        <f>-D13+D20</f>
        <v>7278345</v>
      </c>
      <c r="E22" s="24">
        <f>-E13+E20</f>
        <v>1689198</v>
      </c>
      <c r="F22" s="61">
        <f>-F13+F20</f>
        <v>8967543</v>
      </c>
      <c r="H22" s="24">
        <f>-H13+H20</f>
        <v>334745</v>
      </c>
      <c r="I22" s="24">
        <f>-I13+I20</f>
        <v>75638</v>
      </c>
      <c r="J22" s="61">
        <f>-J13+J20</f>
        <v>410383</v>
      </c>
      <c r="L22" s="24">
        <f>-L13+L20</f>
        <v>209402</v>
      </c>
      <c r="M22" s="24">
        <f>-M13+M20</f>
        <v>45933</v>
      </c>
      <c r="N22" s="61">
        <f>-N13+N20</f>
        <v>255336</v>
      </c>
      <c r="P22" s="24">
        <f>-P13+P20</f>
        <v>362854</v>
      </c>
      <c r="Q22" s="24">
        <f>-Q13+Q20</f>
        <v>77000</v>
      </c>
      <c r="R22" s="61">
        <f>-R13+R20</f>
        <v>439854</v>
      </c>
      <c r="S22" s="61"/>
      <c r="T22" s="24">
        <f>-T13+T20</f>
        <v>-1447397</v>
      </c>
      <c r="U22" s="24">
        <f>-U13+U20</f>
        <v>-307149</v>
      </c>
      <c r="V22" s="61">
        <f>-V13+V20</f>
        <v>-1754546</v>
      </c>
      <c r="X22" s="52">
        <f>R22+N22+J22+F22+V22</f>
        <v>8318570</v>
      </c>
    </row>
    <row r="23" spans="1:25" x14ac:dyDescent="0.2">
      <c r="A23" s="6">
        <v>15</v>
      </c>
      <c r="B23" s="15" t="s">
        <v>25</v>
      </c>
      <c r="C23" s="15"/>
      <c r="D23" s="26">
        <v>0.62014000000000002</v>
      </c>
      <c r="E23" s="26">
        <f>D23</f>
        <v>0.62014000000000002</v>
      </c>
      <c r="F23" s="62">
        <f>E23</f>
        <v>0.62014000000000002</v>
      </c>
      <c r="H23" s="26">
        <v>0.62014000000000002</v>
      </c>
      <c r="I23" s="26">
        <f>H23</f>
        <v>0.62014000000000002</v>
      </c>
      <c r="J23" s="62">
        <f>I23</f>
        <v>0.62014000000000002</v>
      </c>
      <c r="L23" s="26">
        <v>0.62014000000000002</v>
      </c>
      <c r="M23" s="26">
        <f>L23</f>
        <v>0.62014000000000002</v>
      </c>
      <c r="N23" s="62">
        <f>M23</f>
        <v>0.62014000000000002</v>
      </c>
      <c r="P23" s="26">
        <v>0.62014000000000002</v>
      </c>
      <c r="Q23" s="26">
        <f>P23</f>
        <v>0.62014000000000002</v>
      </c>
      <c r="R23" s="62">
        <f>Q23</f>
        <v>0.62014000000000002</v>
      </c>
      <c r="S23" s="111"/>
      <c r="T23" s="26">
        <v>0.62014000000000002</v>
      </c>
      <c r="U23" s="26">
        <f>T23</f>
        <v>0.62014000000000002</v>
      </c>
      <c r="V23" s="62">
        <f>U23</f>
        <v>0.62014000000000002</v>
      </c>
      <c r="X23" s="66">
        <f>R23</f>
        <v>0.62014000000000002</v>
      </c>
    </row>
    <row r="24" spans="1:25" ht="13.5" thickBot="1" x14ac:dyDescent="0.25">
      <c r="A24" s="6">
        <v>16</v>
      </c>
      <c r="B24" s="15" t="s">
        <v>26</v>
      </c>
      <c r="C24" s="15"/>
      <c r="D24" s="23">
        <f>D22/D23</f>
        <v>11736616</v>
      </c>
      <c r="E24" s="23">
        <f>E22/E23</f>
        <v>2723898</v>
      </c>
      <c r="F24" s="60">
        <f>F22/F23</f>
        <v>14460514</v>
      </c>
      <c r="H24" s="23">
        <f>H22/H23</f>
        <v>539789</v>
      </c>
      <c r="I24" s="23">
        <f>I22/I23</f>
        <v>121969</v>
      </c>
      <c r="J24" s="60">
        <f>J22/J23</f>
        <v>661759</v>
      </c>
      <c r="L24" s="23">
        <f>L22/L23</f>
        <v>337669</v>
      </c>
      <c r="M24" s="23">
        <f>M22/M23</f>
        <v>74069</v>
      </c>
      <c r="N24" s="60">
        <f>N22/N23</f>
        <v>411739</v>
      </c>
      <c r="P24" s="23">
        <f>P22/P23</f>
        <v>585116</v>
      </c>
      <c r="Q24" s="23">
        <f>Q22/Q23</f>
        <v>124166</v>
      </c>
      <c r="R24" s="60">
        <f>R22/R23</f>
        <v>709282</v>
      </c>
      <c r="S24" s="61"/>
      <c r="T24" s="23">
        <f>T22/T23</f>
        <v>-2333984</v>
      </c>
      <c r="U24" s="23">
        <f>U22/U23</f>
        <v>-495290</v>
      </c>
      <c r="V24" s="60">
        <f>V22/V23</f>
        <v>-2829274</v>
      </c>
      <c r="X24" s="53">
        <f>X22/X23</f>
        <v>13414019</v>
      </c>
    </row>
    <row r="25" spans="1:25" x14ac:dyDescent="0.2">
      <c r="B25" s="15"/>
      <c r="C25" s="15"/>
      <c r="D25" s="27"/>
      <c r="E25" s="27"/>
      <c r="F25" s="27"/>
      <c r="H25" s="27"/>
      <c r="I25" s="27"/>
      <c r="J25" s="27"/>
      <c r="L25" s="27"/>
      <c r="M25" s="27"/>
      <c r="N25" s="27"/>
      <c r="P25" s="27"/>
      <c r="Q25" s="27"/>
      <c r="R25" s="27"/>
      <c r="S25" s="27"/>
      <c r="T25" s="27"/>
      <c r="U25" s="27"/>
      <c r="V25" s="27"/>
      <c r="X25" s="27"/>
    </row>
    <row r="26" spans="1:25" x14ac:dyDescent="0.2">
      <c r="B26" s="15"/>
      <c r="C26" s="15"/>
      <c r="D26" s="15"/>
      <c r="E26" s="15"/>
      <c r="F26" s="63"/>
      <c r="H26" s="15"/>
      <c r="I26" s="15"/>
      <c r="J26" s="63"/>
      <c r="L26" s="15"/>
      <c r="M26" s="15"/>
      <c r="N26" s="63"/>
      <c r="P26" s="15"/>
      <c r="Q26" s="15"/>
      <c r="R26" s="63"/>
      <c r="S26" s="63"/>
      <c r="T26" s="15"/>
      <c r="U26" s="15"/>
      <c r="V26" s="63"/>
      <c r="X26" s="63"/>
    </row>
    <row r="27" spans="1:25" ht="15" x14ac:dyDescent="0.25">
      <c r="A27" s="6">
        <v>17</v>
      </c>
      <c r="B27" s="17" t="s">
        <v>27</v>
      </c>
      <c r="C27" s="17"/>
      <c r="D27" s="28">
        <f>0.19822*(1-0.27815)</f>
        <v>0.1431</v>
      </c>
      <c r="E27" s="28">
        <f>0.19822*(1-0.27815)</f>
        <v>0.1431</v>
      </c>
      <c r="F27" s="64"/>
      <c r="H27" s="28">
        <f>0.19822*(1-0.27815)</f>
        <v>0.1431</v>
      </c>
      <c r="I27" s="28">
        <f>0.19822*(1-0.27815)</f>
        <v>0.1431</v>
      </c>
      <c r="J27" s="64"/>
      <c r="L27" s="28">
        <f>0.19822*(1-0.27815)</f>
        <v>0.1431</v>
      </c>
      <c r="M27" s="28">
        <f>0.19822*(1-0.27815)</f>
        <v>0.1431</v>
      </c>
      <c r="N27" s="64"/>
      <c r="P27" s="28">
        <f>0.19822*(1-0.27815)</f>
        <v>0.1431</v>
      </c>
      <c r="Q27" s="28">
        <f>0.19822*(1-0.27815)</f>
        <v>0.1431</v>
      </c>
      <c r="R27" s="64"/>
      <c r="S27" s="64"/>
      <c r="T27" s="28">
        <f>0.19822*(1-0.27815)</f>
        <v>0.1431</v>
      </c>
      <c r="U27" s="28">
        <f>0.19822*(1-0.27815)</f>
        <v>0.1431</v>
      </c>
      <c r="V27" s="64"/>
      <c r="X27" s="28">
        <f>0.19822*(1-0.27815)</f>
        <v>0.1431</v>
      </c>
    </row>
    <row r="28" spans="1:25" ht="13.5" thickBot="1" x14ac:dyDescent="0.25">
      <c r="B28" s="15"/>
      <c r="C28" s="15"/>
      <c r="D28" s="15"/>
      <c r="E28" s="15"/>
      <c r="F28" s="63"/>
      <c r="H28" s="15"/>
      <c r="I28" s="15"/>
      <c r="J28" s="63"/>
      <c r="L28" s="15"/>
      <c r="M28" s="15"/>
      <c r="N28" s="63"/>
      <c r="P28" s="15"/>
      <c r="Q28" s="15"/>
      <c r="R28" s="63"/>
      <c r="S28" s="63"/>
      <c r="T28" s="15"/>
      <c r="U28" s="15"/>
      <c r="V28" s="63"/>
      <c r="X28" s="63"/>
    </row>
    <row r="29" spans="1:25" ht="13.5" thickBot="1" x14ac:dyDescent="0.25">
      <c r="A29" s="6">
        <v>18</v>
      </c>
      <c r="B29" s="15" t="s">
        <v>28</v>
      </c>
      <c r="C29" s="15"/>
      <c r="D29" s="29">
        <f>D24*D27</f>
        <v>1679510</v>
      </c>
      <c r="E29" s="30">
        <f>E24*E27</f>
        <v>389790</v>
      </c>
      <c r="F29" s="65">
        <f>SUM(D29:E29)</f>
        <v>2069300</v>
      </c>
      <c r="H29" s="29">
        <f>H24*H27</f>
        <v>77244</v>
      </c>
      <c r="I29" s="30">
        <f>I24*I27</f>
        <v>17454</v>
      </c>
      <c r="J29" s="65">
        <f>SUM(H29:I29)</f>
        <v>94698</v>
      </c>
      <c r="L29" s="29">
        <f>L24*L27</f>
        <v>48320</v>
      </c>
      <c r="M29" s="30">
        <f>M24*M27</f>
        <v>10599</v>
      </c>
      <c r="N29" s="65">
        <f>SUM(L29:M29)</f>
        <v>58919</v>
      </c>
      <c r="P29" s="29">
        <f>P24*P27</f>
        <v>83730</v>
      </c>
      <c r="Q29" s="30">
        <f>Q24*Q27</f>
        <v>17768</v>
      </c>
      <c r="R29" s="65">
        <f>SUM(P29:Q29)</f>
        <v>101498</v>
      </c>
      <c r="S29" s="64"/>
      <c r="T29" s="29">
        <f>T24*T27</f>
        <v>-333993</v>
      </c>
      <c r="U29" s="30">
        <f>U24*U27</f>
        <v>-70876</v>
      </c>
      <c r="V29" s="65">
        <f>SUM(T29:U29)</f>
        <v>-404869</v>
      </c>
      <c r="X29" s="68">
        <f>R29+N29+J29+F29+V29</f>
        <v>1919546</v>
      </c>
      <c r="Y29" s="70"/>
    </row>
    <row r="30" spans="1:25" x14ac:dyDescent="0.2">
      <c r="B30" s="15"/>
      <c r="C30" s="15"/>
      <c r="D30" s="15"/>
      <c r="E30" s="31"/>
      <c r="F30" s="69"/>
      <c r="H30" s="15"/>
      <c r="I30" s="31"/>
      <c r="J30" s="69"/>
      <c r="L30" s="15"/>
      <c r="M30" s="31"/>
      <c r="N30" s="69"/>
      <c r="P30" s="15"/>
      <c r="Q30" s="31"/>
      <c r="R30" s="69"/>
      <c r="S30" s="69"/>
      <c r="T30" s="15"/>
      <c r="U30" s="31"/>
      <c r="V30" s="69"/>
      <c r="X30" s="69" t="s">
        <v>45</v>
      </c>
    </row>
    <row r="31" spans="1:25" ht="4.5" customHeight="1" x14ac:dyDescent="0.2">
      <c r="B31" s="15"/>
      <c r="C31" s="15"/>
      <c r="D31" s="15"/>
      <c r="E31" s="15"/>
      <c r="F31" s="15"/>
      <c r="H31" s="15"/>
      <c r="I31" s="15"/>
      <c r="J31" s="15"/>
      <c r="L31" s="15"/>
      <c r="M31" s="15"/>
      <c r="N31" s="15"/>
      <c r="P31" s="15"/>
      <c r="Q31" s="15"/>
      <c r="R31" s="15"/>
      <c r="S31" s="15"/>
      <c r="T31" s="15"/>
      <c r="U31" s="15"/>
      <c r="V31" s="15"/>
      <c r="X31" s="15"/>
    </row>
    <row r="32" spans="1:25" x14ac:dyDescent="0.2">
      <c r="B32" s="32" t="s">
        <v>29</v>
      </c>
      <c r="C32" s="15"/>
      <c r="D32" s="15"/>
      <c r="E32" s="15"/>
      <c r="F32" s="15"/>
      <c r="H32" s="15"/>
      <c r="I32" s="15"/>
      <c r="J32" s="15"/>
      <c r="L32" s="15"/>
      <c r="M32" s="15"/>
      <c r="N32" s="15"/>
      <c r="P32" s="15"/>
      <c r="Q32" s="15"/>
      <c r="R32" s="15"/>
      <c r="S32" s="15"/>
      <c r="T32" s="15"/>
      <c r="U32" s="15"/>
      <c r="V32" s="15"/>
      <c r="X32" s="15"/>
    </row>
    <row r="33" spans="1:24" x14ac:dyDescent="0.2">
      <c r="A33" s="6">
        <v>19</v>
      </c>
      <c r="B33" s="15" t="s">
        <v>30</v>
      </c>
      <c r="C33" s="15"/>
      <c r="D33" s="33">
        <f>D18</f>
        <v>69607582</v>
      </c>
      <c r="E33" s="33">
        <f>E18</f>
        <v>7523640</v>
      </c>
      <c r="F33" s="33">
        <f>F18</f>
        <v>77131222</v>
      </c>
      <c r="H33" s="33">
        <f>H18</f>
        <v>3328271</v>
      </c>
      <c r="I33" s="33">
        <f>I18</f>
        <v>361606</v>
      </c>
      <c r="J33" s="33">
        <f>J18</f>
        <v>3689877</v>
      </c>
      <c r="L33" s="33">
        <f>L18</f>
        <v>2167601</v>
      </c>
      <c r="M33" s="33">
        <f>M18</f>
        <v>236713</v>
      </c>
      <c r="N33" s="33">
        <f>N18</f>
        <v>2404314</v>
      </c>
      <c r="P33" s="33">
        <f>P18</f>
        <v>3916368</v>
      </c>
      <c r="Q33" s="33">
        <f>Q18</f>
        <v>429865</v>
      </c>
      <c r="R33" s="33">
        <f>R18</f>
        <v>4346233</v>
      </c>
      <c r="S33" s="33"/>
      <c r="T33" s="33">
        <f>T18</f>
        <v>-15622112</v>
      </c>
      <c r="U33" s="33">
        <f>U18</f>
        <v>-1714702</v>
      </c>
      <c r="V33" s="33">
        <f>V18</f>
        <v>-17336814</v>
      </c>
      <c r="X33" s="33">
        <f>X18</f>
        <v>70234832</v>
      </c>
    </row>
    <row r="34" spans="1:24" x14ac:dyDescent="0.2">
      <c r="A34" s="6">
        <v>20</v>
      </c>
      <c r="B34" s="15" t="s">
        <v>31</v>
      </c>
      <c r="C34" s="15"/>
      <c r="D34" s="34">
        <v>2.7799999999999998E-2</v>
      </c>
      <c r="E34" s="34">
        <f>D34</f>
        <v>2.7799999999999998E-2</v>
      </c>
      <c r="F34" s="34">
        <f>D34</f>
        <v>2.7799999999999998E-2</v>
      </c>
      <c r="H34" s="34">
        <v>2.7799999999999998E-2</v>
      </c>
      <c r="I34" s="34">
        <f>H34</f>
        <v>2.7799999999999998E-2</v>
      </c>
      <c r="J34" s="34">
        <f>H34</f>
        <v>2.7799999999999998E-2</v>
      </c>
      <c r="L34" s="34">
        <v>2.7799999999999998E-2</v>
      </c>
      <c r="M34" s="34">
        <f>L34</f>
        <v>2.7799999999999998E-2</v>
      </c>
      <c r="N34" s="34">
        <f>L34</f>
        <v>2.7799999999999998E-2</v>
      </c>
      <c r="P34" s="34">
        <v>2.7799999999999998E-2</v>
      </c>
      <c r="Q34" s="34">
        <f>P34</f>
        <v>2.7799999999999998E-2</v>
      </c>
      <c r="R34" s="34">
        <f>P34</f>
        <v>2.7799999999999998E-2</v>
      </c>
      <c r="S34" s="43"/>
      <c r="T34" s="34">
        <v>2.7799999999999998E-2</v>
      </c>
      <c r="U34" s="34">
        <f>T34</f>
        <v>2.7799999999999998E-2</v>
      </c>
      <c r="V34" s="34">
        <f>T34</f>
        <v>2.7799999999999998E-2</v>
      </c>
      <c r="X34" s="34">
        <f>Q34</f>
        <v>2.7799999999999998E-2</v>
      </c>
    </row>
    <row r="35" spans="1:24" x14ac:dyDescent="0.2">
      <c r="A35" s="6">
        <v>21</v>
      </c>
      <c r="B35" s="4" t="s">
        <v>32</v>
      </c>
      <c r="D35" s="35">
        <f>ROUND(D33*D34,0)</f>
        <v>1935091</v>
      </c>
      <c r="E35" s="35">
        <f>ROUND(E33*E34,0)</f>
        <v>209157</v>
      </c>
      <c r="F35" s="35">
        <f>SUM(D35:E35)</f>
        <v>2144248</v>
      </c>
      <c r="H35" s="35">
        <f>ROUND(H33*H34,0)</f>
        <v>92526</v>
      </c>
      <c r="I35" s="35">
        <f>ROUND(I33*I34,0)</f>
        <v>10053</v>
      </c>
      <c r="J35" s="35">
        <f>SUM(H35:I35)</f>
        <v>102579</v>
      </c>
      <c r="L35" s="35">
        <f>ROUND(L33*L34,0)</f>
        <v>60259</v>
      </c>
      <c r="M35" s="35">
        <f>ROUND(M33*M34,0)</f>
        <v>6581</v>
      </c>
      <c r="N35" s="35">
        <f>SUM(L35:M35)</f>
        <v>66840</v>
      </c>
      <c r="P35" s="35">
        <f>ROUND(P33*P34,0)</f>
        <v>108875</v>
      </c>
      <c r="Q35" s="35">
        <f>ROUND(Q33*Q34,0)</f>
        <v>11950</v>
      </c>
      <c r="R35" s="35">
        <f>SUM(P35:Q35)</f>
        <v>120825</v>
      </c>
      <c r="S35" s="35"/>
      <c r="T35" s="35">
        <f>ROUND(T33*T34,0)</f>
        <v>-434295</v>
      </c>
      <c r="U35" s="35">
        <f>ROUND(U33*U34,0)</f>
        <v>-47669</v>
      </c>
      <c r="V35" s="35">
        <f>SUM(T35:U35)</f>
        <v>-481964</v>
      </c>
      <c r="X35" s="35">
        <f>ROUND(X33*X34,0)</f>
        <v>1952528</v>
      </c>
    </row>
    <row r="36" spans="1:24" x14ac:dyDescent="0.2">
      <c r="A36" s="6">
        <v>22</v>
      </c>
      <c r="B36" s="4" t="s">
        <v>33</v>
      </c>
      <c r="D36" s="36">
        <f>F36</f>
        <v>0.35</v>
      </c>
      <c r="E36" s="36">
        <f>F36</f>
        <v>0.35</v>
      </c>
      <c r="F36" s="36">
        <v>0.35</v>
      </c>
      <c r="H36" s="36">
        <f>J36</f>
        <v>0.35</v>
      </c>
      <c r="I36" s="36">
        <f>J36</f>
        <v>0.35</v>
      </c>
      <c r="J36" s="36">
        <v>0.35</v>
      </c>
      <c r="L36" s="36">
        <f>N36</f>
        <v>0.35</v>
      </c>
      <c r="M36" s="36">
        <f>N36</f>
        <v>0.35</v>
      </c>
      <c r="N36" s="36">
        <v>0.35</v>
      </c>
      <c r="P36" s="36">
        <f>R36</f>
        <v>0.35</v>
      </c>
      <c r="Q36" s="36">
        <f>R36</f>
        <v>0.35</v>
      </c>
      <c r="R36" s="36">
        <v>0.35</v>
      </c>
      <c r="S36" s="46"/>
      <c r="T36" s="36">
        <f>V36</f>
        <v>0.35</v>
      </c>
      <c r="U36" s="36">
        <f>V36</f>
        <v>0.35</v>
      </c>
      <c r="V36" s="36">
        <v>0.35</v>
      </c>
      <c r="X36" s="36">
        <f>Q36</f>
        <v>0.35</v>
      </c>
    </row>
    <row r="37" spans="1:24" x14ac:dyDescent="0.2">
      <c r="A37" s="6">
        <v>23</v>
      </c>
      <c r="B37" s="4" t="s">
        <v>34</v>
      </c>
      <c r="D37" s="35">
        <f>ROUND(D35*D36,0)</f>
        <v>677282</v>
      </c>
      <c r="E37" s="35">
        <f>ROUND(E35*E36,0)</f>
        <v>73205</v>
      </c>
      <c r="F37" s="35">
        <f>SUM(D37:E37)</f>
        <v>750487</v>
      </c>
      <c r="H37" s="35">
        <f>ROUND(H35*H36,0)</f>
        <v>32384</v>
      </c>
      <c r="I37" s="35">
        <f>ROUND(I35*I36,0)</f>
        <v>3519</v>
      </c>
      <c r="J37" s="35">
        <f>SUM(H37:I37)</f>
        <v>35903</v>
      </c>
      <c r="L37" s="35">
        <f>ROUND(L35*L36,0)</f>
        <v>21091</v>
      </c>
      <c r="M37" s="35">
        <f>ROUND(M35*M36,0)</f>
        <v>2303</v>
      </c>
      <c r="N37" s="35">
        <f>SUM(L37:M37)</f>
        <v>23394</v>
      </c>
      <c r="P37" s="35">
        <f>ROUND(P35*P36,0)</f>
        <v>38106</v>
      </c>
      <c r="Q37" s="35">
        <f>ROUND(Q35*Q36,0)</f>
        <v>4183</v>
      </c>
      <c r="R37" s="35">
        <f>SUM(P37:Q37)</f>
        <v>42289</v>
      </c>
      <c r="S37" s="35"/>
      <c r="T37" s="35">
        <f>ROUND(T35*T36,0)</f>
        <v>-152003</v>
      </c>
      <c r="U37" s="35">
        <f>ROUND(U35*U36,0)</f>
        <v>-16684</v>
      </c>
      <c r="V37" s="35">
        <f>SUM(T37:U37)</f>
        <v>-168687</v>
      </c>
      <c r="X37" s="35">
        <f>ROUND(X35*X36,0)</f>
        <v>683385</v>
      </c>
    </row>
    <row r="40" spans="1:24" x14ac:dyDescent="0.2">
      <c r="A40" s="3" t="s">
        <v>35</v>
      </c>
      <c r="B40" s="5"/>
    </row>
    <row r="41" spans="1:24" x14ac:dyDescent="0.2">
      <c r="A41" s="5" t="s">
        <v>43</v>
      </c>
      <c r="B41" s="5"/>
      <c r="C41" s="5"/>
      <c r="D41" s="5"/>
      <c r="E41" s="5"/>
      <c r="F41" s="5"/>
    </row>
    <row r="42" spans="1:24" x14ac:dyDescent="0.2">
      <c r="A42" s="5" t="s">
        <v>36</v>
      </c>
      <c r="B42" s="5"/>
    </row>
    <row r="43" spans="1:24" x14ac:dyDescent="0.2">
      <c r="A43" s="5"/>
      <c r="B43" s="5" t="s">
        <v>37</v>
      </c>
      <c r="D43" s="37">
        <f>F43*0.91</f>
        <v>96004967</v>
      </c>
      <c r="E43" s="37">
        <f>F43*0.09</f>
        <v>9494997</v>
      </c>
      <c r="F43" s="38">
        <f>95108321+10391643</f>
        <v>105499964</v>
      </c>
    </row>
    <row r="44" spans="1:24" x14ac:dyDescent="0.2">
      <c r="A44" s="5"/>
      <c r="B44" s="5" t="s">
        <v>38</v>
      </c>
      <c r="D44" s="39">
        <v>9311975</v>
      </c>
      <c r="E44" s="39">
        <v>1079669</v>
      </c>
      <c r="F44" s="39">
        <v>10391643</v>
      </c>
    </row>
    <row r="45" spans="1:24" ht="13.5" thickBot="1" x14ac:dyDescent="0.25">
      <c r="A45" s="5"/>
      <c r="B45" s="5"/>
      <c r="D45" s="40">
        <f>D43-D44</f>
        <v>86692992</v>
      </c>
      <c r="E45" s="40">
        <f>E43-E44</f>
        <v>8415328</v>
      </c>
      <c r="F45" s="40">
        <f>F43-F44</f>
        <v>95108321</v>
      </c>
    </row>
    <row r="46" spans="1:24" x14ac:dyDescent="0.2">
      <c r="A46" s="119" t="s">
        <v>39</v>
      </c>
      <c r="B46" s="119"/>
      <c r="C46" s="119"/>
      <c r="D46" s="119"/>
      <c r="E46" s="119"/>
      <c r="F46" s="119"/>
      <c r="L46" s="41"/>
      <c r="M46" s="42"/>
      <c r="N46" s="43"/>
      <c r="O46" s="44"/>
    </row>
    <row r="47" spans="1:24" x14ac:dyDescent="0.2">
      <c r="A47" s="5"/>
      <c r="B47" s="5"/>
      <c r="L47" s="41"/>
      <c r="M47" s="45"/>
      <c r="N47" s="43"/>
      <c r="O47" s="44"/>
    </row>
    <row r="48" spans="1:24" x14ac:dyDescent="0.2">
      <c r="A48" s="5"/>
      <c r="B48" s="5"/>
      <c r="L48" s="41"/>
      <c r="M48" s="46"/>
      <c r="N48" s="41"/>
      <c r="O48" s="47"/>
    </row>
    <row r="49" spans="1:15" x14ac:dyDescent="0.2">
      <c r="A49" s="5"/>
      <c r="B49" s="5"/>
      <c r="L49" s="41"/>
      <c r="M49" s="41"/>
      <c r="N49" s="41"/>
      <c r="O49" s="41"/>
    </row>
    <row r="50" spans="1:15" x14ac:dyDescent="0.2">
      <c r="A50" s="5"/>
      <c r="B50" s="5"/>
    </row>
    <row r="51" spans="1:15" x14ac:dyDescent="0.2">
      <c r="A51" s="5"/>
      <c r="B51" s="5"/>
    </row>
    <row r="52" spans="1:15" x14ac:dyDescent="0.2">
      <c r="A52" s="5"/>
      <c r="B52" s="5"/>
    </row>
    <row r="53" spans="1:15" x14ac:dyDescent="0.2">
      <c r="A53" s="5"/>
      <c r="B53" s="5"/>
    </row>
    <row r="54" spans="1:15" x14ac:dyDescent="0.2">
      <c r="A54" s="5"/>
      <c r="B54" s="5"/>
    </row>
    <row r="55" spans="1:15" x14ac:dyDescent="0.2">
      <c r="A55" s="5"/>
      <c r="B55" s="5"/>
    </row>
    <row r="56" spans="1:15" x14ac:dyDescent="0.2">
      <c r="A56" s="5"/>
      <c r="B56" s="5"/>
    </row>
    <row r="57" spans="1:15" x14ac:dyDescent="0.2">
      <c r="A57" s="5"/>
      <c r="B57" s="5"/>
    </row>
    <row r="58" spans="1:15" x14ac:dyDescent="0.2">
      <c r="A58" s="5"/>
      <c r="B58" s="5"/>
    </row>
    <row r="59" spans="1:15" x14ac:dyDescent="0.2">
      <c r="A59" s="5"/>
      <c r="B59" s="5"/>
    </row>
    <row r="60" spans="1:15" x14ac:dyDescent="0.2">
      <c r="A60" s="5"/>
      <c r="B60" s="5"/>
    </row>
    <row r="61" spans="1:15" x14ac:dyDescent="0.2">
      <c r="A61" s="5"/>
      <c r="B61" s="5"/>
    </row>
    <row r="62" spans="1:15" x14ac:dyDescent="0.2">
      <c r="A62" s="5"/>
      <c r="B62" s="5"/>
    </row>
  </sheetData>
  <mergeCells count="9">
    <mergeCell ref="B1:X1"/>
    <mergeCell ref="B2:X2"/>
    <mergeCell ref="B3:X3"/>
    <mergeCell ref="P5:R5"/>
    <mergeCell ref="A46:F46"/>
    <mergeCell ref="D5:F5"/>
    <mergeCell ref="H5:J5"/>
    <mergeCell ref="L5:N5"/>
    <mergeCell ref="T5:V5"/>
  </mergeCells>
  <pageMargins left="0.51" right="0.5" top="1" bottom="0.75" header="0.5" footer="0.5"/>
  <pageSetup scale="57" fitToHeight="0" orientation="landscape" r:id="rId1"/>
  <headerFooter scaleWithDoc="0" alignWithMargins="0">
    <oddHeader>&amp;RAdjustment No. _______
Workpaper Ref. &amp;A</oddHeader>
    <oddFooter>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7E576-8DD9-4463-8073-D624AA1795A3}"/>
</file>

<file path=customXml/itemProps2.xml><?xml version="1.0" encoding="utf-8"?>
<ds:datastoreItem xmlns:ds="http://schemas.openxmlformats.org/officeDocument/2006/customXml" ds:itemID="{FBCF9FEB-839A-49BE-AB2A-8F809FCE1F68}"/>
</file>

<file path=customXml/itemProps3.xml><?xml version="1.0" encoding="utf-8"?>
<ds:datastoreItem xmlns:ds="http://schemas.openxmlformats.org/officeDocument/2006/customXml" ds:itemID="{96A6C8EF-25A3-4FA4-B474-FCD8AF132963}"/>
</file>

<file path=customXml/itemProps4.xml><?xml version="1.0" encoding="utf-8"?>
<ds:datastoreItem xmlns:ds="http://schemas.openxmlformats.org/officeDocument/2006/customXml" ds:itemID="{D131D408-1941-4AC3-9578-AAD323C4A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G-PCD</vt:lpstr>
      <vt:lpstr>G-PCD-1</vt:lpstr>
      <vt:lpstr>'G-PCD-1'!Print_Area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vz9tr1</dc:creator>
  <cp:lastModifiedBy>Hancock, Christopher (UTC)</cp:lastModifiedBy>
  <cp:lastPrinted>2015-01-06T18:06:55Z</cp:lastPrinted>
  <dcterms:created xsi:type="dcterms:W3CDTF">2009-02-25T21:21:21Z</dcterms:created>
  <dcterms:modified xsi:type="dcterms:W3CDTF">2015-07-14T18:45:09Z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0x0101006E56B4D1795A2E4DB2F0B01679ED314A0097FA5D4F63E4AB4AAE35AF92A0E8AE17</vt:lpwstr>
  </property>
  <property fmtid="{D5CDD505-2E9C-101B-9397-08002B2CF9AE}" pid="4" name="_docset_NoMedatataSyncRequired">
    <vt:lpwstr>False</vt:lpwstr>
  </property>
</Properties>
</file>