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ket notes\UE-150204 UG-150205 Avista GRC\Workpaper drafts\"/>
    </mc:Choice>
  </mc:AlternateContent>
  <bookViews>
    <workbookView xWindow="0" yWindow="0" windowWidth="15525" windowHeight="12180" tabRatio="875"/>
  </bookViews>
  <sheets>
    <sheet name="Major ERs" sheetId="59" r:id="rId1"/>
    <sheet name="Major critera" sheetId="58" r:id="rId2"/>
    <sheet name="CAP15" sheetId="52" r:id="rId3"/>
    <sheet name="CAP15.1-Allocations" sheetId="27" r:id="rId4"/>
    <sheet name="CAP15.2 - AMA CALC" sheetId="26" r:id="rId5"/>
    <sheet name="CAP15.3" sheetId="54" r:id="rId6"/>
    <sheet name="CAP15.3 - edit" sheetId="57" r:id="rId7"/>
    <sheet name="Allocation factors" sheetId="56" r:id="rId8"/>
  </sheets>
  <definedNames>
    <definedName name="_xlnm._FilterDatabase" localSheetId="2" hidden="1">'CAP15'!$A$11:$A$11</definedName>
    <definedName name="_xlnm._FilterDatabase" localSheetId="5" hidden="1">CAP15.3!$F$9:$U$208</definedName>
    <definedName name="_xlnm._FilterDatabase" localSheetId="6" hidden="1">'CAP15.3 - edit'!$F$9:$U$208</definedName>
    <definedName name="Actual">#REF!</definedName>
    <definedName name="_xlnm.Auto_Open" localSheetId="6">#REF!</definedName>
    <definedName name="_xlnm.Auto_Open">#REF!</definedName>
    <definedName name="e">#REF!</definedName>
    <definedName name="fda">#REF!</definedName>
    <definedName name="hfds">#REF!</definedName>
    <definedName name="hght">#REF!</definedName>
    <definedName name="Macro1" localSheetId="6">#REF!</definedName>
    <definedName name="Macro1">#REF!</definedName>
    <definedName name="Macro2" localSheetId="6">#REF!</definedName>
    <definedName name="Macro2">#REF!</definedName>
    <definedName name="Macro3" localSheetId="6">#REF!</definedName>
    <definedName name="Macro3">#REF!</definedName>
    <definedName name="Macro4" localSheetId="6">#REF!</definedName>
    <definedName name="Macro4">#REF!</definedName>
    <definedName name="Macro5" localSheetId="6">#REF!</definedName>
    <definedName name="Macro5">#REF!</definedName>
    <definedName name="Macro6" localSheetId="6">#REF!</definedName>
    <definedName name="Macro6">#REF!</definedName>
    <definedName name="Macro7" localSheetId="6">#REF!</definedName>
    <definedName name="Macro7">#REF!</definedName>
    <definedName name="Macro8" localSheetId="6">#REF!</definedName>
    <definedName name="Macro8">#REF!</definedName>
    <definedName name="_xlnm.Print_Area" localSheetId="2">'CAP15'!$A$3:$U$59</definedName>
    <definedName name="_xlnm.Print_Area" localSheetId="3">'CAP15.1-Allocations'!$A$4:$E$357</definedName>
    <definedName name="_xlnm.Print_Area" localSheetId="4">'CAP15.2 - AMA CALC'!$A$1:$S$352</definedName>
    <definedName name="_xlnm.Print_Area" localSheetId="5">CAP15.3!$A$1:$U$213</definedName>
    <definedName name="_xlnm.Print_Area" localSheetId="6">'CAP15.3 - edit'!$A$1:$U$213</definedName>
    <definedName name="_xlnm.Print_Area" localSheetId="0">'Major ERs'!$D$1:$AA$15</definedName>
    <definedName name="_xlnm.Print_Titles" localSheetId="3">'CAP15.1-Allocations'!$4:$10</definedName>
    <definedName name="_xlnm.Print_Titles" localSheetId="4">'CAP15.2 - AMA CALC'!$8:$11</definedName>
    <definedName name="_xlnm.Print_Titles" localSheetId="5">CAP15.3!$F:$G,CAP15.3!$1:$9</definedName>
    <definedName name="_xlnm.Print_Titles" localSheetId="6">'CAP15.3 - edit'!$F:$G,'CAP15.3 - edit'!$1:$9</definedName>
    <definedName name="q">#REF!</definedName>
    <definedName name="qwe">#REF!</definedName>
    <definedName name="re">#REF!</definedName>
    <definedName name="Recover" localSheetId="6">#REF!</definedName>
    <definedName name="Recover">#REF!</definedName>
    <definedName name="TableName">"Dummy"</definedName>
    <definedName name="wer">#REF!</definedName>
  </definedNames>
  <calcPr calcId="152511"/>
</workbook>
</file>

<file path=xl/calcChain.xml><?xml version="1.0" encoding="utf-8"?>
<calcChain xmlns="http://schemas.openxmlformats.org/spreadsheetml/2006/main">
  <c r="U186" i="57" l="1"/>
  <c r="AA14" i="59" l="1"/>
  <c r="Z14" i="59"/>
  <c r="AA13" i="59"/>
  <c r="AA12" i="59"/>
  <c r="Z12" i="59"/>
  <c r="AA11" i="59"/>
  <c r="Z11" i="59"/>
  <c r="AA10" i="59"/>
  <c r="Z10" i="59"/>
  <c r="AA9" i="59"/>
  <c r="Z9" i="59"/>
  <c r="AA8" i="59"/>
  <c r="Z8" i="59"/>
  <c r="AA7" i="59"/>
  <c r="Z7" i="59"/>
  <c r="AA6" i="59"/>
  <c r="Z6" i="59"/>
  <c r="AA5" i="59"/>
  <c r="Z5" i="59"/>
  <c r="AA4" i="59"/>
  <c r="Z2" i="59"/>
  <c r="Z4" i="59"/>
  <c r="AA3" i="59"/>
  <c r="AA2" i="59"/>
  <c r="D282" i="26" l="1"/>
  <c r="Z13" i="59"/>
  <c r="W105" i="57" l="1"/>
  <c r="AA204" i="57" l="1"/>
  <c r="Z204" i="57"/>
  <c r="AA203" i="57"/>
  <c r="Z203" i="57"/>
  <c r="AA200" i="57"/>
  <c r="Z200" i="57"/>
  <c r="AA199" i="57"/>
  <c r="Z199" i="57"/>
  <c r="AA198" i="57"/>
  <c r="Z198" i="57"/>
  <c r="AA192" i="57"/>
  <c r="Z192" i="57"/>
  <c r="AA191" i="57"/>
  <c r="Z191" i="57"/>
  <c r="AA190" i="57"/>
  <c r="Z190" i="57"/>
  <c r="AA189" i="57"/>
  <c r="Z189" i="57"/>
  <c r="AA188" i="57"/>
  <c r="Z188" i="57"/>
  <c r="AA187" i="57"/>
  <c r="Z187" i="57"/>
  <c r="AA185" i="57"/>
  <c r="Z185" i="57"/>
  <c r="AA184" i="57"/>
  <c r="Z184" i="57"/>
  <c r="AA183" i="57"/>
  <c r="Z183" i="57"/>
  <c r="AA180" i="57"/>
  <c r="Z180" i="57"/>
  <c r="AA179" i="57"/>
  <c r="Z179" i="57"/>
  <c r="AA178" i="57"/>
  <c r="Z178" i="57"/>
  <c r="AA177" i="57"/>
  <c r="Z177" i="57"/>
  <c r="AA174" i="57"/>
  <c r="Z174" i="57"/>
  <c r="AA173" i="57"/>
  <c r="Z173" i="57"/>
  <c r="AA172" i="57"/>
  <c r="Z172" i="57"/>
  <c r="AA171" i="57"/>
  <c r="Z171" i="57"/>
  <c r="AA170" i="57"/>
  <c r="Z170" i="57"/>
  <c r="AA169" i="57"/>
  <c r="Z169" i="57"/>
  <c r="AA168" i="57"/>
  <c r="Z168" i="57"/>
  <c r="AA167" i="57"/>
  <c r="Z167" i="57"/>
  <c r="AA166" i="57"/>
  <c r="Z166" i="57"/>
  <c r="AA165" i="57"/>
  <c r="Z165" i="57"/>
  <c r="AA164" i="57"/>
  <c r="Z164" i="57"/>
  <c r="AA163" i="57"/>
  <c r="Z163" i="57"/>
  <c r="AA162" i="57"/>
  <c r="Z162" i="57"/>
  <c r="AA161" i="57"/>
  <c r="Z161" i="57"/>
  <c r="AA160" i="57"/>
  <c r="Z160" i="57"/>
  <c r="AA159" i="57"/>
  <c r="Z159" i="57"/>
  <c r="AA155" i="57"/>
  <c r="Z155" i="57"/>
  <c r="AA154" i="57"/>
  <c r="Z154" i="57"/>
  <c r="AA152" i="57"/>
  <c r="Z152" i="57"/>
  <c r="AA151" i="57"/>
  <c r="Z151" i="57"/>
  <c r="AA150" i="57"/>
  <c r="Z150" i="57"/>
  <c r="AA148" i="57"/>
  <c r="Z148" i="57"/>
  <c r="AA146" i="57"/>
  <c r="Z146" i="57"/>
  <c r="AA144" i="57"/>
  <c r="Z144" i="57"/>
  <c r="AA143" i="57"/>
  <c r="Z143" i="57"/>
  <c r="AA142" i="57"/>
  <c r="Z142" i="57"/>
  <c r="AA141" i="57"/>
  <c r="Z141" i="57"/>
  <c r="AA140" i="57"/>
  <c r="Z140" i="57"/>
  <c r="AA139" i="57"/>
  <c r="Z139" i="57"/>
  <c r="AA138" i="57"/>
  <c r="Z138" i="57"/>
  <c r="AA137" i="57"/>
  <c r="Z137" i="57"/>
  <c r="AA136" i="57"/>
  <c r="Z136" i="57"/>
  <c r="AA135" i="57"/>
  <c r="Z135" i="57"/>
  <c r="AA134" i="57"/>
  <c r="Z134" i="57"/>
  <c r="AA133" i="57"/>
  <c r="Z133" i="57"/>
  <c r="AA132" i="57"/>
  <c r="Z132" i="57"/>
  <c r="AA129" i="57"/>
  <c r="Z129" i="57"/>
  <c r="AA125" i="57"/>
  <c r="Z125" i="57"/>
  <c r="AA124" i="57"/>
  <c r="Z124" i="57"/>
  <c r="AA122" i="57"/>
  <c r="Z122" i="57"/>
  <c r="AA121" i="57"/>
  <c r="Z121" i="57"/>
  <c r="AA120" i="57"/>
  <c r="Z120" i="57"/>
  <c r="AA118" i="57"/>
  <c r="Z118" i="57"/>
  <c r="AA117" i="57"/>
  <c r="Z117" i="57"/>
  <c r="AA115" i="57"/>
  <c r="Z115" i="57"/>
  <c r="Z100" i="57"/>
  <c r="AA100" i="57"/>
  <c r="Z101" i="57"/>
  <c r="AA101" i="57"/>
  <c r="Z102" i="57"/>
  <c r="AA102" i="57"/>
  <c r="Z103" i="57"/>
  <c r="AA103" i="57"/>
  <c r="Z104" i="57"/>
  <c r="AA104" i="57"/>
  <c r="Z105" i="57"/>
  <c r="Z106" i="57"/>
  <c r="AA106" i="57"/>
  <c r="Z107" i="57"/>
  <c r="AA107" i="57"/>
  <c r="Z108" i="57"/>
  <c r="AA108" i="57"/>
  <c r="Z109" i="57"/>
  <c r="AA109" i="57"/>
  <c r="Z110" i="57"/>
  <c r="AA110" i="57"/>
  <c r="Z111" i="57"/>
  <c r="AA111" i="57"/>
  <c r="Z112" i="57"/>
  <c r="AA112" i="57"/>
  <c r="Z113" i="57"/>
  <c r="AA113" i="57"/>
  <c r="AA99" i="57"/>
  <c r="Z99" i="57"/>
  <c r="Z92" i="57"/>
  <c r="AA92" i="57"/>
  <c r="Z93" i="57"/>
  <c r="AA93" i="57"/>
  <c r="Z94" i="57"/>
  <c r="AA94" i="57"/>
  <c r="Z95" i="57"/>
  <c r="AA95" i="57"/>
  <c r="AA91" i="57"/>
  <c r="Z91" i="57"/>
  <c r="AA89" i="57"/>
  <c r="Z89" i="57"/>
  <c r="AA88" i="57"/>
  <c r="Z88" i="57"/>
  <c r="AA61" i="57"/>
  <c r="AA62" i="57"/>
  <c r="AA63" i="57"/>
  <c r="AA64" i="57"/>
  <c r="AA65" i="57"/>
  <c r="AA66" i="57"/>
  <c r="AA67" i="57"/>
  <c r="AA68" i="57"/>
  <c r="AA69" i="57"/>
  <c r="AA70" i="57"/>
  <c r="AA71" i="57"/>
  <c r="AA72" i="57"/>
  <c r="AA73" i="57"/>
  <c r="AA74" i="57"/>
  <c r="AA75" i="57"/>
  <c r="AA76" i="57"/>
  <c r="AA77" i="57"/>
  <c r="AA78" i="57"/>
  <c r="AA79" i="57"/>
  <c r="AA80" i="57"/>
  <c r="AA81" i="57"/>
  <c r="AA82" i="57"/>
  <c r="AA83" i="57"/>
  <c r="AA84" i="57"/>
  <c r="AA85" i="57"/>
  <c r="AA86" i="57"/>
  <c r="AA60" i="57"/>
  <c r="AA59" i="57"/>
  <c r="AA55" i="57"/>
  <c r="Z55" i="57"/>
  <c r="AA54" i="57"/>
  <c r="Z54" i="57"/>
  <c r="AA53" i="57"/>
  <c r="Z53" i="57"/>
  <c r="AA52" i="57"/>
  <c r="Z52" i="57"/>
  <c r="AA51" i="57"/>
  <c r="Z51" i="57"/>
  <c r="AA50" i="57"/>
  <c r="Z50" i="57"/>
  <c r="AA49" i="57"/>
  <c r="Z49" i="57"/>
  <c r="AA48" i="57"/>
  <c r="Z48" i="57"/>
  <c r="AA47" i="57"/>
  <c r="Z47" i="57"/>
  <c r="AA46" i="57"/>
  <c r="Z46" i="57"/>
  <c r="AA45" i="57"/>
  <c r="Z45" i="57"/>
  <c r="AA44" i="57"/>
  <c r="Z44" i="57"/>
  <c r="Z42" i="57"/>
  <c r="AA42" i="57"/>
  <c r="AA41" i="57"/>
  <c r="Z41" i="57"/>
  <c r="AA15" i="57"/>
  <c r="Z16" i="57"/>
  <c r="AA16" i="57"/>
  <c r="Z17" i="57"/>
  <c r="AA17" i="57"/>
  <c r="Z18" i="57"/>
  <c r="AA18" i="57"/>
  <c r="Z19" i="57"/>
  <c r="AA19" i="57"/>
  <c r="Z20" i="57"/>
  <c r="AA20" i="57"/>
  <c r="Z21" i="57"/>
  <c r="AA21" i="57"/>
  <c r="AA22" i="57"/>
  <c r="Z23" i="57"/>
  <c r="AA23" i="57"/>
  <c r="AA24" i="57"/>
  <c r="AA25" i="57"/>
  <c r="AA26" i="57"/>
  <c r="AA27" i="57"/>
  <c r="AA28" i="57"/>
  <c r="AA29" i="57"/>
  <c r="AA30" i="57"/>
  <c r="AA31" i="57"/>
  <c r="AA32" i="57"/>
  <c r="AA33" i="57"/>
  <c r="AA34" i="57"/>
  <c r="AA35" i="57"/>
  <c r="Z36" i="57"/>
  <c r="AA36" i="57"/>
  <c r="AA37" i="57"/>
  <c r="AA38" i="57"/>
  <c r="AA14" i="57"/>
  <c r="C4" i="58"/>
  <c r="B4" i="58"/>
  <c r="Y204" i="57" l="1"/>
  <c r="X204" i="57"/>
  <c r="Y203" i="57"/>
  <c r="X203" i="57"/>
  <c r="V204" i="57"/>
  <c r="W204" i="57"/>
  <c r="W203" i="57"/>
  <c r="V203" i="57"/>
  <c r="Y200" i="57"/>
  <c r="X200" i="57"/>
  <c r="Y199" i="57"/>
  <c r="X199" i="57"/>
  <c r="Y198" i="57"/>
  <c r="X198" i="57"/>
  <c r="V199" i="57"/>
  <c r="V200" i="57"/>
  <c r="V198" i="57"/>
  <c r="V184" i="57"/>
  <c r="W184" i="57"/>
  <c r="Y184" i="57" s="1"/>
  <c r="V185" i="57"/>
  <c r="W185" i="57"/>
  <c r="V186" i="57"/>
  <c r="W186" i="57"/>
  <c r="Y186" i="57" s="1"/>
  <c r="AA186" i="57" s="1"/>
  <c r="AA15" i="59" s="1"/>
  <c r="V187" i="57"/>
  <c r="W187" i="57"/>
  <c r="V188" i="57"/>
  <c r="W188" i="57"/>
  <c r="Y188" i="57" s="1"/>
  <c r="V189" i="57"/>
  <c r="W189" i="57"/>
  <c r="V190" i="57"/>
  <c r="W190" i="57"/>
  <c r="Y190" i="57" s="1"/>
  <c r="V191" i="57"/>
  <c r="W191" i="57"/>
  <c r="V192" i="57"/>
  <c r="W192" i="57"/>
  <c r="Y192" i="57" s="1"/>
  <c r="W183" i="57"/>
  <c r="Y183" i="57" s="1"/>
  <c r="X184" i="57"/>
  <c r="X185" i="57"/>
  <c r="Y185" i="57"/>
  <c r="X186" i="57"/>
  <c r="Z186" i="57" s="1"/>
  <c r="Z15" i="59" s="1"/>
  <c r="X187" i="57"/>
  <c r="Y187" i="57"/>
  <c r="X188" i="57"/>
  <c r="X189" i="57"/>
  <c r="Y189" i="57"/>
  <c r="X190" i="57"/>
  <c r="X191" i="57"/>
  <c r="Y191" i="57"/>
  <c r="X192" i="57"/>
  <c r="X183" i="57"/>
  <c r="V183" i="57"/>
  <c r="Y180" i="57"/>
  <c r="X180" i="57"/>
  <c r="Y179" i="57"/>
  <c r="X179" i="57"/>
  <c r="Y178" i="57"/>
  <c r="X178" i="57"/>
  <c r="Y177" i="57"/>
  <c r="X177" i="57"/>
  <c r="V178" i="57"/>
  <c r="V179" i="57"/>
  <c r="V180" i="57"/>
  <c r="V177" i="57"/>
  <c r="V160" i="57"/>
  <c r="V161" i="57"/>
  <c r="V162" i="57"/>
  <c r="V163" i="57"/>
  <c r="V164" i="57"/>
  <c r="V165" i="57"/>
  <c r="V166" i="57"/>
  <c r="V167" i="57"/>
  <c r="V168" i="57"/>
  <c r="V169" i="57"/>
  <c r="V170" i="57"/>
  <c r="V171" i="57"/>
  <c r="V172" i="57"/>
  <c r="V173" i="57"/>
  <c r="V174" i="57"/>
  <c r="V159" i="57"/>
  <c r="X159" i="57"/>
  <c r="Y174" i="57"/>
  <c r="X174" i="57"/>
  <c r="Y173" i="57"/>
  <c r="X173" i="57"/>
  <c r="Y172" i="57"/>
  <c r="X172" i="57"/>
  <c r="Y171" i="57"/>
  <c r="X171" i="57"/>
  <c r="Y170" i="57"/>
  <c r="X170" i="57"/>
  <c r="Y169" i="57"/>
  <c r="X169" i="57"/>
  <c r="Y168" i="57"/>
  <c r="X168" i="57"/>
  <c r="Y167" i="57"/>
  <c r="X167" i="57"/>
  <c r="Y166" i="57"/>
  <c r="X166" i="57"/>
  <c r="Y165" i="57"/>
  <c r="X165" i="57"/>
  <c r="Y164" i="57"/>
  <c r="X164" i="57"/>
  <c r="Y163" i="57"/>
  <c r="X163" i="57"/>
  <c r="Y162" i="57"/>
  <c r="X162" i="57"/>
  <c r="Y161" i="57"/>
  <c r="X161" i="57"/>
  <c r="Y160" i="57"/>
  <c r="X160" i="57"/>
  <c r="Y159" i="57"/>
  <c r="Y155" i="57"/>
  <c r="X155" i="57"/>
  <c r="Y154" i="57"/>
  <c r="X154" i="57"/>
  <c r="V155" i="57"/>
  <c r="V154" i="57"/>
  <c r="V151" i="57"/>
  <c r="W151" i="57"/>
  <c r="Y151" i="57" s="1"/>
  <c r="V152" i="57"/>
  <c r="W152" i="57"/>
  <c r="W150" i="57"/>
  <c r="Y150" i="57" s="1"/>
  <c r="V150" i="57"/>
  <c r="X150" i="57" s="1"/>
  <c r="Y152" i="57"/>
  <c r="X152" i="57"/>
  <c r="X151" i="57"/>
  <c r="Y148" i="57"/>
  <c r="X148" i="57"/>
  <c r="W146" i="57"/>
  <c r="Y146" i="57" s="1"/>
  <c r="X146" i="57"/>
  <c r="V146" i="57"/>
  <c r="W133" i="57"/>
  <c r="W134" i="57"/>
  <c r="Y134" i="57" s="1"/>
  <c r="W135" i="57"/>
  <c r="W136" i="57"/>
  <c r="W137" i="57"/>
  <c r="W138" i="57"/>
  <c r="W139" i="57"/>
  <c r="W140" i="57"/>
  <c r="W141" i="57"/>
  <c r="W142" i="57"/>
  <c r="Y142" i="57" s="1"/>
  <c r="W143" i="57"/>
  <c r="W144" i="57"/>
  <c r="V133" i="57"/>
  <c r="X133" i="57" s="1"/>
  <c r="V134" i="57"/>
  <c r="V135" i="57"/>
  <c r="V136" i="57"/>
  <c r="V137" i="57"/>
  <c r="X137" i="57" s="1"/>
  <c r="V138" i="57"/>
  <c r="X138" i="57" s="1"/>
  <c r="V139" i="57"/>
  <c r="V140" i="57"/>
  <c r="V141" i="57"/>
  <c r="X141" i="57" s="1"/>
  <c r="V142" i="57"/>
  <c r="X142" i="57" s="1"/>
  <c r="V143" i="57"/>
  <c r="V144" i="57"/>
  <c r="V132" i="57"/>
  <c r="X132" i="57" s="1"/>
  <c r="W132" i="57"/>
  <c r="Y132" i="57"/>
  <c r="Y144" i="57"/>
  <c r="X144" i="57"/>
  <c r="Y143" i="57"/>
  <c r="X143" i="57"/>
  <c r="Y141" i="57"/>
  <c r="Y140" i="57"/>
  <c r="X140" i="57"/>
  <c r="Y139" i="57"/>
  <c r="X139" i="57"/>
  <c r="Y138" i="57"/>
  <c r="Y137" i="57"/>
  <c r="Y136" i="57"/>
  <c r="X136" i="57"/>
  <c r="Y135" i="57"/>
  <c r="X135" i="57"/>
  <c r="X134" i="57"/>
  <c r="Y133" i="57"/>
  <c r="W129" i="57"/>
  <c r="Y129" i="57"/>
  <c r="X129" i="57"/>
  <c r="Y125" i="57"/>
  <c r="X125" i="57"/>
  <c r="Y124" i="57"/>
  <c r="X124" i="57"/>
  <c r="Y122" i="57"/>
  <c r="X122" i="57"/>
  <c r="Y121" i="57"/>
  <c r="X121" i="57"/>
  <c r="Y120" i="57"/>
  <c r="X120" i="57"/>
  <c r="Y118" i="57"/>
  <c r="X118" i="57"/>
  <c r="Y117" i="57"/>
  <c r="X117" i="57"/>
  <c r="Y115" i="57" l="1"/>
  <c r="X115" i="57"/>
  <c r="W115" i="57"/>
  <c r="W110" i="57"/>
  <c r="Y110" i="57" s="1"/>
  <c r="W109" i="57"/>
  <c r="W108" i="57"/>
  <c r="W107" i="57"/>
  <c r="W106" i="57"/>
  <c r="Y105" i="57"/>
  <c r="AA105" i="57" s="1"/>
  <c r="AA207" i="57" s="1"/>
  <c r="W104" i="57"/>
  <c r="W103" i="57"/>
  <c r="Y103" i="57" s="1"/>
  <c r="W100" i="57"/>
  <c r="W101" i="57"/>
  <c r="Y101" i="57" s="1"/>
  <c r="W102" i="57"/>
  <c r="Y104" i="57"/>
  <c r="Y109" i="57"/>
  <c r="W111" i="57"/>
  <c r="Y111" i="57" s="1"/>
  <c r="W112" i="57"/>
  <c r="W113" i="57"/>
  <c r="Y113" i="57" s="1"/>
  <c r="W99" i="57"/>
  <c r="Y99" i="57" s="1"/>
  <c r="Y107" i="57"/>
  <c r="X100" i="57"/>
  <c r="Y100" i="57"/>
  <c r="X101" i="57"/>
  <c r="X102" i="57"/>
  <c r="Y102" i="57"/>
  <c r="X103" i="57"/>
  <c r="X104" i="57"/>
  <c r="X105" i="57"/>
  <c r="X106" i="57"/>
  <c r="Y106" i="57"/>
  <c r="X107" i="57"/>
  <c r="X108" i="57"/>
  <c r="Y108" i="57"/>
  <c r="X109" i="57"/>
  <c r="X110" i="57"/>
  <c r="X111" i="57"/>
  <c r="X112" i="57"/>
  <c r="Y112" i="57"/>
  <c r="X113" i="57"/>
  <c r="X99" i="57"/>
  <c r="X92" i="57"/>
  <c r="Y92" i="57"/>
  <c r="X93" i="57"/>
  <c r="Y93" i="57"/>
  <c r="X94" i="57"/>
  <c r="Y94" i="57"/>
  <c r="X95" i="57"/>
  <c r="Y95" i="57"/>
  <c r="Y91" i="57"/>
  <c r="X91" i="57"/>
  <c r="Y89" i="57"/>
  <c r="Y88" i="57"/>
  <c r="X89" i="57"/>
  <c r="X88" i="57"/>
  <c r="Y60" i="57"/>
  <c r="Y61" i="57"/>
  <c r="Y62" i="57"/>
  <c r="Y63" i="57"/>
  <c r="Y64" i="57"/>
  <c r="Y65" i="57"/>
  <c r="Y66" i="57"/>
  <c r="Y67" i="57"/>
  <c r="Y68" i="57"/>
  <c r="Y69" i="57"/>
  <c r="Y70" i="57"/>
  <c r="Y71" i="57"/>
  <c r="Y72" i="57"/>
  <c r="Y73" i="57"/>
  <c r="Y74" i="57"/>
  <c r="Y75" i="57"/>
  <c r="Y76" i="57"/>
  <c r="Y77" i="57"/>
  <c r="Y78" i="57"/>
  <c r="Y79" i="57"/>
  <c r="Y80" i="57"/>
  <c r="Y81" i="57"/>
  <c r="Y82" i="57"/>
  <c r="Y83" i="57"/>
  <c r="Y84" i="57"/>
  <c r="Y85" i="57"/>
  <c r="Y86" i="57"/>
  <c r="Y59" i="57"/>
  <c r="Y45" i="57"/>
  <c r="Y46" i="57"/>
  <c r="Y47" i="57"/>
  <c r="Y48" i="57"/>
  <c r="Y49" i="57"/>
  <c r="Y50" i="57"/>
  <c r="Y51" i="57"/>
  <c r="Y52" i="57"/>
  <c r="Y53" i="57"/>
  <c r="Y54" i="57"/>
  <c r="Y55" i="57"/>
  <c r="Y44" i="57"/>
  <c r="X45" i="57"/>
  <c r="X46" i="57"/>
  <c r="X47" i="57"/>
  <c r="X48" i="57"/>
  <c r="X49" i="57"/>
  <c r="X50" i="57"/>
  <c r="X51" i="57"/>
  <c r="X52" i="57"/>
  <c r="X53" i="57"/>
  <c r="X54" i="57"/>
  <c r="X55" i="57"/>
  <c r="X44" i="57"/>
  <c r="X42" i="57"/>
  <c r="Y42" i="57"/>
  <c r="Y41" i="57"/>
  <c r="X41" i="57"/>
  <c r="V36" i="57"/>
  <c r="V23" i="57"/>
  <c r="V21" i="57"/>
  <c r="V20" i="57"/>
  <c r="X20" i="57" s="1"/>
  <c r="V19" i="57"/>
  <c r="V18" i="57"/>
  <c r="V17" i="57"/>
  <c r="X17" i="57" s="1"/>
  <c r="V16" i="57"/>
  <c r="X16" i="57"/>
  <c r="X18" i="57"/>
  <c r="X19" i="57"/>
  <c r="X21" i="57"/>
  <c r="X23" i="57"/>
  <c r="X36" i="57"/>
  <c r="Y15" i="57"/>
  <c r="Y16" i="57"/>
  <c r="Y17" i="57"/>
  <c r="Y18" i="57"/>
  <c r="Y19" i="57"/>
  <c r="Y20" i="57"/>
  <c r="Y21" i="57"/>
  <c r="Y22" i="57"/>
  <c r="Y23" i="57"/>
  <c r="Y24" i="57"/>
  <c r="Y25" i="57"/>
  <c r="Y26" i="57"/>
  <c r="Y27" i="57"/>
  <c r="Y28" i="57"/>
  <c r="Y29" i="57"/>
  <c r="Y30" i="57"/>
  <c r="Y31" i="57"/>
  <c r="Y32" i="57"/>
  <c r="Y33" i="57"/>
  <c r="Y34" i="57"/>
  <c r="Y35" i="57"/>
  <c r="Y36" i="57"/>
  <c r="Y37" i="57"/>
  <c r="Y38" i="57"/>
  <c r="Y14" i="57"/>
  <c r="U238" i="57" l="1"/>
  <c r="U237" i="57"/>
  <c r="U236" i="57"/>
  <c r="U235" i="57"/>
  <c r="U234" i="57"/>
  <c r="T228" i="57"/>
  <c r="S228" i="57"/>
  <c r="R228" i="57"/>
  <c r="Q228" i="57"/>
  <c r="P228" i="57"/>
  <c r="O228" i="57"/>
  <c r="N228" i="57"/>
  <c r="M228" i="57"/>
  <c r="L228" i="57"/>
  <c r="K228" i="57"/>
  <c r="J228" i="57"/>
  <c r="I228" i="57"/>
  <c r="U227" i="57"/>
  <c r="U226" i="57"/>
  <c r="U225" i="57"/>
  <c r="U224" i="57"/>
  <c r="U223" i="57"/>
  <c r="U228" i="57" s="1"/>
  <c r="T219" i="57"/>
  <c r="S219" i="57"/>
  <c r="R219" i="57"/>
  <c r="Q219" i="57"/>
  <c r="P219" i="57"/>
  <c r="O219" i="57"/>
  <c r="N219" i="57"/>
  <c r="M219" i="57"/>
  <c r="L219" i="57"/>
  <c r="K219" i="57"/>
  <c r="J219" i="57"/>
  <c r="I219" i="57"/>
  <c r="U219" i="57" s="1"/>
  <c r="T218" i="57"/>
  <c r="S218" i="57"/>
  <c r="R218" i="57"/>
  <c r="Q218" i="57"/>
  <c r="P218" i="57"/>
  <c r="O218" i="57"/>
  <c r="N218" i="57"/>
  <c r="M218" i="57"/>
  <c r="L218" i="57"/>
  <c r="K218" i="57"/>
  <c r="J218" i="57"/>
  <c r="I218" i="57"/>
  <c r="U218" i="57" s="1"/>
  <c r="T217" i="57"/>
  <c r="S217" i="57"/>
  <c r="R217" i="57"/>
  <c r="Q217" i="57"/>
  <c r="P217" i="57"/>
  <c r="O217" i="57"/>
  <c r="N217" i="57"/>
  <c r="M217" i="57"/>
  <c r="L217" i="57"/>
  <c r="K217" i="57"/>
  <c r="J217" i="57"/>
  <c r="I217" i="57"/>
  <c r="U217" i="57" s="1"/>
  <c r="T216" i="57"/>
  <c r="S216" i="57"/>
  <c r="R216" i="57"/>
  <c r="Q216" i="57"/>
  <c r="Q220" i="57" s="1"/>
  <c r="P216" i="57"/>
  <c r="O216" i="57"/>
  <c r="N216" i="57"/>
  <c r="M216" i="57"/>
  <c r="M220" i="57" s="1"/>
  <c r="L216" i="57"/>
  <c r="K216" i="57"/>
  <c r="J216" i="57"/>
  <c r="I216" i="57"/>
  <c r="U216" i="57" s="1"/>
  <c r="T215" i="57"/>
  <c r="T220" i="57" s="1"/>
  <c r="S215" i="57"/>
  <c r="S220" i="57" s="1"/>
  <c r="R215" i="57"/>
  <c r="R220" i="57" s="1"/>
  <c r="Q215" i="57"/>
  <c r="P215" i="57"/>
  <c r="P220" i="57" s="1"/>
  <c r="O215" i="57"/>
  <c r="O220" i="57" s="1"/>
  <c r="N215" i="57"/>
  <c r="N220" i="57" s="1"/>
  <c r="M215" i="57"/>
  <c r="L215" i="57"/>
  <c r="L220" i="57" s="1"/>
  <c r="K215" i="57"/>
  <c r="K220" i="57" s="1"/>
  <c r="J215" i="57"/>
  <c r="J220" i="57" s="1"/>
  <c r="I215" i="57"/>
  <c r="U215" i="57" s="1"/>
  <c r="U220" i="57" s="1"/>
  <c r="U205" i="57"/>
  <c r="T205" i="57"/>
  <c r="S205" i="57"/>
  <c r="R205" i="57"/>
  <c r="Q205" i="57"/>
  <c r="P205" i="57"/>
  <c r="O205" i="57"/>
  <c r="N205" i="57"/>
  <c r="M205" i="57"/>
  <c r="L205" i="57"/>
  <c r="K205" i="57"/>
  <c r="J205" i="57"/>
  <c r="I205" i="57"/>
  <c r="U204" i="57"/>
  <c r="U203" i="57"/>
  <c r="T201" i="57"/>
  <c r="S201" i="57"/>
  <c r="R201" i="57"/>
  <c r="Q201" i="57"/>
  <c r="P201" i="57"/>
  <c r="O201" i="57"/>
  <c r="N201" i="57"/>
  <c r="M201" i="57"/>
  <c r="L201" i="57"/>
  <c r="K201" i="57"/>
  <c r="J201" i="57"/>
  <c r="I201" i="57"/>
  <c r="U200" i="57"/>
  <c r="U201" i="57" s="1"/>
  <c r="U199" i="57"/>
  <c r="U198" i="57"/>
  <c r="T196" i="57"/>
  <c r="Q196" i="57"/>
  <c r="P196" i="57"/>
  <c r="M196" i="57"/>
  <c r="L196" i="57"/>
  <c r="I196" i="57"/>
  <c r="U195" i="57"/>
  <c r="T195" i="57"/>
  <c r="S195" i="57"/>
  <c r="R195" i="57"/>
  <c r="Q195" i="57"/>
  <c r="P195" i="57"/>
  <c r="O195" i="57"/>
  <c r="N195" i="57"/>
  <c r="M195" i="57"/>
  <c r="L195" i="57"/>
  <c r="K195" i="57"/>
  <c r="J195" i="57"/>
  <c r="I195" i="57"/>
  <c r="U194" i="57"/>
  <c r="T193" i="57"/>
  <c r="S193" i="57"/>
  <c r="S196" i="57" s="1"/>
  <c r="R193" i="57"/>
  <c r="R196" i="57" s="1"/>
  <c r="Q193" i="57"/>
  <c r="P193" i="57"/>
  <c r="O193" i="57"/>
  <c r="O196" i="57" s="1"/>
  <c r="N193" i="57"/>
  <c r="N196" i="57" s="1"/>
  <c r="M193" i="57"/>
  <c r="L193" i="57"/>
  <c r="K193" i="57"/>
  <c r="K196" i="57" s="1"/>
  <c r="J193" i="57"/>
  <c r="J196" i="57" s="1"/>
  <c r="I193" i="57"/>
  <c r="U192" i="57"/>
  <c r="U191" i="57"/>
  <c r="U190" i="57"/>
  <c r="U189" i="57"/>
  <c r="U188" i="57"/>
  <c r="U185" i="57"/>
  <c r="U184" i="57"/>
  <c r="U183" i="57"/>
  <c r="S181" i="57"/>
  <c r="R181" i="57"/>
  <c r="Q181" i="57"/>
  <c r="P181" i="57"/>
  <c r="O181" i="57"/>
  <c r="M181" i="57"/>
  <c r="L181" i="57"/>
  <c r="J181" i="57"/>
  <c r="I181" i="57"/>
  <c r="U180" i="57"/>
  <c r="U179" i="57"/>
  <c r="U178" i="57"/>
  <c r="T177" i="57"/>
  <c r="T181" i="57" s="1"/>
  <c r="Q177" i="57"/>
  <c r="N177" i="57"/>
  <c r="N181" i="57" s="1"/>
  <c r="K177" i="57"/>
  <c r="K181" i="57" s="1"/>
  <c r="S175" i="57"/>
  <c r="R175" i="57"/>
  <c r="O175" i="57"/>
  <c r="N175" i="57"/>
  <c r="K175" i="57"/>
  <c r="J175" i="57"/>
  <c r="U174" i="57"/>
  <c r="T173" i="57"/>
  <c r="T175" i="57" s="1"/>
  <c r="S173" i="57"/>
  <c r="R173" i="57"/>
  <c r="Q173" i="57"/>
  <c r="Q175" i="57" s="1"/>
  <c r="P173" i="57"/>
  <c r="P175" i="57" s="1"/>
  <c r="O173" i="57"/>
  <c r="N173" i="57"/>
  <c r="M173" i="57"/>
  <c r="M175" i="57" s="1"/>
  <c r="L173" i="57"/>
  <c r="K173" i="57"/>
  <c r="J173" i="57"/>
  <c r="I173" i="57"/>
  <c r="I175" i="57" s="1"/>
  <c r="U172" i="57"/>
  <c r="U171" i="57"/>
  <c r="U170" i="57"/>
  <c r="U169" i="57"/>
  <c r="U168" i="57"/>
  <c r="U167" i="57"/>
  <c r="U166" i="57"/>
  <c r="U165" i="57"/>
  <c r="U164" i="57"/>
  <c r="U163" i="57"/>
  <c r="L163" i="57"/>
  <c r="L175" i="57" s="1"/>
  <c r="U162" i="57"/>
  <c r="U161" i="57"/>
  <c r="U160" i="57"/>
  <c r="U159" i="57"/>
  <c r="U156" i="57"/>
  <c r="T156" i="57"/>
  <c r="S156" i="57"/>
  <c r="R156" i="57"/>
  <c r="Q156" i="57"/>
  <c r="P156" i="57"/>
  <c r="O156" i="57"/>
  <c r="N156" i="57"/>
  <c r="M156" i="57"/>
  <c r="L156" i="57"/>
  <c r="K156" i="57"/>
  <c r="J156" i="57"/>
  <c r="I156" i="57"/>
  <c r="U155" i="57"/>
  <c r="U154" i="57"/>
  <c r="T153" i="57"/>
  <c r="S153" i="57"/>
  <c r="R153" i="57"/>
  <c r="Q153" i="57"/>
  <c r="P153" i="57"/>
  <c r="O153" i="57"/>
  <c r="N153" i="57"/>
  <c r="M153" i="57"/>
  <c r="L153" i="57"/>
  <c r="K153" i="57"/>
  <c r="J153" i="57"/>
  <c r="I153" i="57"/>
  <c r="U152" i="57"/>
  <c r="U153" i="57" s="1"/>
  <c r="U151" i="57"/>
  <c r="U150" i="57"/>
  <c r="T149" i="57"/>
  <c r="S149" i="57"/>
  <c r="R149" i="57"/>
  <c r="Q149" i="57"/>
  <c r="P149" i="57"/>
  <c r="O149" i="57"/>
  <c r="N149" i="57"/>
  <c r="M149" i="57"/>
  <c r="L149" i="57"/>
  <c r="K149" i="57"/>
  <c r="J149" i="57"/>
  <c r="I149" i="57"/>
  <c r="U148" i="57"/>
  <c r="U149" i="57" s="1"/>
  <c r="T147" i="57"/>
  <c r="S147" i="57"/>
  <c r="R147" i="57"/>
  <c r="Q147" i="57"/>
  <c r="P147" i="57"/>
  <c r="O147" i="57"/>
  <c r="N147" i="57"/>
  <c r="M147" i="57"/>
  <c r="L147" i="57"/>
  <c r="K147" i="57"/>
  <c r="J147" i="57"/>
  <c r="I147" i="57"/>
  <c r="U146" i="57"/>
  <c r="U147" i="57" s="1"/>
  <c r="T145" i="57"/>
  <c r="T157" i="57" s="1"/>
  <c r="S145" i="57"/>
  <c r="S157" i="57" s="1"/>
  <c r="R145" i="57"/>
  <c r="R157" i="57" s="1"/>
  <c r="Q145" i="57"/>
  <c r="Q157" i="57" s="1"/>
  <c r="P145" i="57"/>
  <c r="P157" i="57" s="1"/>
  <c r="O145" i="57"/>
  <c r="O157" i="57" s="1"/>
  <c r="N145" i="57"/>
  <c r="N157" i="57" s="1"/>
  <c r="M145" i="57"/>
  <c r="M157" i="57" s="1"/>
  <c r="L145" i="57"/>
  <c r="L157" i="57" s="1"/>
  <c r="K145" i="57"/>
  <c r="K157" i="57" s="1"/>
  <c r="J145" i="57"/>
  <c r="J157" i="57" s="1"/>
  <c r="I145" i="57"/>
  <c r="I157" i="57" s="1"/>
  <c r="U144" i="57"/>
  <c r="U143" i="57"/>
  <c r="U142" i="57"/>
  <c r="U141" i="57"/>
  <c r="U140" i="57"/>
  <c r="U139" i="57"/>
  <c r="U138" i="57"/>
  <c r="U137" i="57"/>
  <c r="U136" i="57"/>
  <c r="U135" i="57"/>
  <c r="U134" i="57"/>
  <c r="U133" i="57"/>
  <c r="U132" i="57"/>
  <c r="T130" i="57"/>
  <c r="S130" i="57"/>
  <c r="R130" i="57"/>
  <c r="Q130" i="57"/>
  <c r="P130" i="57"/>
  <c r="O130" i="57"/>
  <c r="N130" i="57"/>
  <c r="M130" i="57"/>
  <c r="L130" i="57"/>
  <c r="K130" i="57"/>
  <c r="J130" i="57"/>
  <c r="I130" i="57"/>
  <c r="U129" i="57"/>
  <c r="U130" i="57" s="1"/>
  <c r="U126" i="57"/>
  <c r="T126" i="57"/>
  <c r="S126" i="57"/>
  <c r="R126" i="57"/>
  <c r="Q126" i="57"/>
  <c r="P126" i="57"/>
  <c r="O126" i="57"/>
  <c r="N126" i="57"/>
  <c r="M126" i="57"/>
  <c r="L126" i="57"/>
  <c r="K126" i="57"/>
  <c r="J126" i="57"/>
  <c r="I126" i="57"/>
  <c r="U125" i="57"/>
  <c r="U124" i="57"/>
  <c r="T123" i="57"/>
  <c r="S123" i="57"/>
  <c r="R123" i="57"/>
  <c r="Q123" i="57"/>
  <c r="P123" i="57"/>
  <c r="O123" i="57"/>
  <c r="N123" i="57"/>
  <c r="M123" i="57"/>
  <c r="L123" i="57"/>
  <c r="K123" i="57"/>
  <c r="J123" i="57"/>
  <c r="I123" i="57"/>
  <c r="U122" i="57"/>
  <c r="U123" i="57" s="1"/>
  <c r="U121" i="57"/>
  <c r="U120" i="57"/>
  <c r="T119" i="57"/>
  <c r="S119" i="57"/>
  <c r="R119" i="57"/>
  <c r="Q119" i="57"/>
  <c r="P119" i="57"/>
  <c r="O119" i="57"/>
  <c r="N119" i="57"/>
  <c r="M119" i="57"/>
  <c r="L119" i="57"/>
  <c r="K119" i="57"/>
  <c r="J119" i="57"/>
  <c r="I119" i="57"/>
  <c r="U118" i="57"/>
  <c r="U119" i="57" s="1"/>
  <c r="U117" i="57"/>
  <c r="T116" i="57"/>
  <c r="S116" i="57"/>
  <c r="R116" i="57"/>
  <c r="Q116" i="57"/>
  <c r="P116" i="57"/>
  <c r="O116" i="57"/>
  <c r="N116" i="57"/>
  <c r="M116" i="57"/>
  <c r="L116" i="57"/>
  <c r="K116" i="57"/>
  <c r="J116" i="57"/>
  <c r="I116" i="57"/>
  <c r="U115" i="57"/>
  <c r="U116" i="57" s="1"/>
  <c r="Q114" i="57"/>
  <c r="M114" i="57"/>
  <c r="I114" i="57"/>
  <c r="U113" i="57"/>
  <c r="U112" i="57"/>
  <c r="U111" i="57"/>
  <c r="U110" i="57"/>
  <c r="U109" i="57"/>
  <c r="U108" i="57"/>
  <c r="U107" i="57"/>
  <c r="U106" i="57"/>
  <c r="U105" i="57"/>
  <c r="U104" i="57"/>
  <c r="U103" i="57"/>
  <c r="U102" i="57"/>
  <c r="T101" i="57"/>
  <c r="S101" i="57"/>
  <c r="R101" i="57"/>
  <c r="R114" i="57" s="1"/>
  <c r="Q101" i="57"/>
  <c r="P101" i="57"/>
  <c r="O101" i="57"/>
  <c r="N101" i="57"/>
  <c r="N114" i="57" s="1"/>
  <c r="M101" i="57"/>
  <c r="L101" i="57"/>
  <c r="K101" i="57"/>
  <c r="J101" i="57"/>
  <c r="J114" i="57" s="1"/>
  <c r="I101" i="57"/>
  <c r="U101" i="57" s="1"/>
  <c r="T100" i="57"/>
  <c r="S100" i="57"/>
  <c r="R100" i="57"/>
  <c r="Q100" i="57"/>
  <c r="P100" i="57"/>
  <c r="O100" i="57"/>
  <c r="N100" i="57"/>
  <c r="M100" i="57"/>
  <c r="L100" i="57"/>
  <c r="K100" i="57"/>
  <c r="J100" i="57"/>
  <c r="I100" i="57"/>
  <c r="U100" i="57" s="1"/>
  <c r="T99" i="57"/>
  <c r="S99" i="57"/>
  <c r="R99" i="57"/>
  <c r="R127" i="57" s="1"/>
  <c r="Q99" i="57"/>
  <c r="Q127" i="57" s="1"/>
  <c r="P99" i="57"/>
  <c r="O99" i="57"/>
  <c r="N99" i="57"/>
  <c r="N127" i="57" s="1"/>
  <c r="M99" i="57"/>
  <c r="M127" i="57" s="1"/>
  <c r="L99" i="57"/>
  <c r="K99" i="57"/>
  <c r="J99" i="57"/>
  <c r="J127" i="57" s="1"/>
  <c r="I99" i="57"/>
  <c r="I127" i="57" s="1"/>
  <c r="R97" i="57"/>
  <c r="Q97" i="57"/>
  <c r="N97" i="57"/>
  <c r="M97" i="57"/>
  <c r="J97" i="57"/>
  <c r="I97" i="57"/>
  <c r="T96" i="57"/>
  <c r="S96" i="57"/>
  <c r="R96" i="57"/>
  <c r="Q96" i="57"/>
  <c r="P96" i="57"/>
  <c r="O96" i="57"/>
  <c r="N96" i="57"/>
  <c r="M96" i="57"/>
  <c r="L96" i="57"/>
  <c r="K96" i="57"/>
  <c r="J96" i="57"/>
  <c r="I96" i="57"/>
  <c r="U95" i="57"/>
  <c r="U94" i="57"/>
  <c r="U93" i="57"/>
  <c r="U92" i="57"/>
  <c r="U91" i="57"/>
  <c r="U96" i="57" s="1"/>
  <c r="T90" i="57"/>
  <c r="S90" i="57"/>
  <c r="R90" i="57"/>
  <c r="Q90" i="57"/>
  <c r="P90" i="57"/>
  <c r="O90" i="57"/>
  <c r="N90" i="57"/>
  <c r="M90" i="57"/>
  <c r="L90" i="57"/>
  <c r="K90" i="57"/>
  <c r="J90" i="57"/>
  <c r="I90" i="57"/>
  <c r="U89" i="57"/>
  <c r="U90" i="57" s="1"/>
  <c r="U88" i="57"/>
  <c r="T87" i="57"/>
  <c r="T97" i="57" s="1"/>
  <c r="S87" i="57"/>
  <c r="S97" i="57" s="1"/>
  <c r="R87" i="57"/>
  <c r="Q87" i="57"/>
  <c r="P87" i="57"/>
  <c r="P97" i="57" s="1"/>
  <c r="O87" i="57"/>
  <c r="O97" i="57" s="1"/>
  <c r="N87" i="57"/>
  <c r="M87" i="57"/>
  <c r="L87" i="57"/>
  <c r="L97" i="57" s="1"/>
  <c r="K87" i="57"/>
  <c r="K97" i="57" s="1"/>
  <c r="J87" i="57"/>
  <c r="I87" i="57"/>
  <c r="U86" i="57"/>
  <c r="U85" i="57"/>
  <c r="U84" i="57"/>
  <c r="U83" i="57"/>
  <c r="U82" i="57"/>
  <c r="U81" i="57"/>
  <c r="U80" i="57"/>
  <c r="U79" i="57"/>
  <c r="U78" i="57"/>
  <c r="U77" i="57"/>
  <c r="U76" i="57"/>
  <c r="U75" i="57"/>
  <c r="U74" i="57"/>
  <c r="U73" i="57"/>
  <c r="U72" i="57"/>
  <c r="U71" i="57"/>
  <c r="U70" i="57"/>
  <c r="U69" i="57"/>
  <c r="U68" i="57"/>
  <c r="U67" i="57"/>
  <c r="U66" i="57"/>
  <c r="U65" i="57"/>
  <c r="U64" i="57"/>
  <c r="U63" i="57"/>
  <c r="U62" i="57"/>
  <c r="U61" i="57"/>
  <c r="U60" i="57"/>
  <c r="U59" i="57"/>
  <c r="T56" i="57"/>
  <c r="S56" i="57"/>
  <c r="R56" i="57"/>
  <c r="Q56" i="57"/>
  <c r="P56" i="57"/>
  <c r="O56" i="57"/>
  <c r="N56" i="57"/>
  <c r="M56" i="57"/>
  <c r="L56" i="57"/>
  <c r="K56" i="57"/>
  <c r="J56" i="57"/>
  <c r="I56" i="57"/>
  <c r="U55" i="57"/>
  <c r="U54" i="57"/>
  <c r="U53" i="57"/>
  <c r="U52" i="57"/>
  <c r="U51" i="57"/>
  <c r="U50" i="57"/>
  <c r="U49" i="57"/>
  <c r="U48" i="57"/>
  <c r="U47" i="57"/>
  <c r="U46" i="57"/>
  <c r="U45" i="57"/>
  <c r="U44" i="57"/>
  <c r="U56" i="57" s="1"/>
  <c r="T43" i="57"/>
  <c r="S43" i="57"/>
  <c r="R43" i="57"/>
  <c r="Q43" i="57"/>
  <c r="P43" i="57"/>
  <c r="O43" i="57"/>
  <c r="N43" i="57"/>
  <c r="M43" i="57"/>
  <c r="L43" i="57"/>
  <c r="K43" i="57"/>
  <c r="J43" i="57"/>
  <c r="I43" i="57"/>
  <c r="U42" i="57"/>
  <c r="U41" i="57"/>
  <c r="U40" i="57"/>
  <c r="U43" i="57" s="1"/>
  <c r="N39" i="57"/>
  <c r="J39" i="57"/>
  <c r="U38" i="57"/>
  <c r="U37" i="57"/>
  <c r="U36" i="57"/>
  <c r="U35" i="57"/>
  <c r="U34" i="57"/>
  <c r="U33" i="57"/>
  <c r="U32" i="57"/>
  <c r="U31" i="57"/>
  <c r="U30" i="57"/>
  <c r="U29" i="57"/>
  <c r="U28" i="57"/>
  <c r="U27" i="57"/>
  <c r="U26" i="57"/>
  <c r="U25" i="57"/>
  <c r="U24" i="57"/>
  <c r="U23" i="57"/>
  <c r="U22" i="57"/>
  <c r="U21" i="57"/>
  <c r="U20" i="57"/>
  <c r="U19" i="57"/>
  <c r="U18" i="57"/>
  <c r="U17" i="57"/>
  <c r="U16" i="57"/>
  <c r="T15" i="57"/>
  <c r="S15" i="57"/>
  <c r="R15" i="57"/>
  <c r="R39" i="57" s="1"/>
  <c r="Q15" i="57"/>
  <c r="P15" i="57"/>
  <c r="O15" i="57"/>
  <c r="N15" i="57"/>
  <c r="M15" i="57"/>
  <c r="L15" i="57"/>
  <c r="K15" i="57"/>
  <c r="J15" i="57"/>
  <c r="I15" i="57"/>
  <c r="U15" i="57" s="1"/>
  <c r="T14" i="57"/>
  <c r="T39" i="57" s="1"/>
  <c r="S14" i="57"/>
  <c r="S39" i="57" s="1"/>
  <c r="R14" i="57"/>
  <c r="Q14" i="57"/>
  <c r="Q39" i="57" s="1"/>
  <c r="P14" i="57"/>
  <c r="P39" i="57" s="1"/>
  <c r="O14" i="57"/>
  <c r="O39" i="57" s="1"/>
  <c r="N14" i="57"/>
  <c r="M14" i="57"/>
  <c r="M39" i="57" s="1"/>
  <c r="L14" i="57"/>
  <c r="L39" i="57" s="1"/>
  <c r="K14" i="57"/>
  <c r="K39" i="57" s="1"/>
  <c r="J14" i="57"/>
  <c r="I14" i="57"/>
  <c r="I39" i="57" s="1"/>
  <c r="T13" i="57"/>
  <c r="T57" i="57" s="1"/>
  <c r="S13" i="57"/>
  <c r="R13" i="57"/>
  <c r="Q13" i="57"/>
  <c r="P13" i="57"/>
  <c r="O13" i="57"/>
  <c r="N13" i="57"/>
  <c r="M13" i="57"/>
  <c r="M57" i="57" s="1"/>
  <c r="L13" i="57"/>
  <c r="K13" i="57"/>
  <c r="J13" i="57"/>
  <c r="I13" i="57"/>
  <c r="U12" i="57"/>
  <c r="U5" i="57"/>
  <c r="U3" i="57"/>
  <c r="U6" i="57" s="1"/>
  <c r="U97" i="57" l="1"/>
  <c r="P57" i="57"/>
  <c r="R207" i="57"/>
  <c r="R212" i="57" s="1"/>
  <c r="R230" i="57" s="1"/>
  <c r="U87" i="57"/>
  <c r="L57" i="57"/>
  <c r="L114" i="57"/>
  <c r="L127" i="57"/>
  <c r="L207" i="57" s="1"/>
  <c r="L212" i="57" s="1"/>
  <c r="L230" i="57" s="1"/>
  <c r="P114" i="57"/>
  <c r="T114" i="57"/>
  <c r="T127" i="57"/>
  <c r="U57" i="57"/>
  <c r="U13" i="57"/>
  <c r="T207" i="57"/>
  <c r="T212" i="57" s="1"/>
  <c r="T230" i="57"/>
  <c r="Q207" i="57"/>
  <c r="Q212" i="57" s="1"/>
  <c r="Q230" i="57" s="1"/>
  <c r="M230" i="57"/>
  <c r="U177" i="57"/>
  <c r="U181" i="57" s="1"/>
  <c r="I220" i="57"/>
  <c r="I230" i="57" s="1"/>
  <c r="I57" i="57"/>
  <c r="I207" i="57" s="1"/>
  <c r="I212" i="57" s="1"/>
  <c r="Q57" i="57"/>
  <c r="U99" i="57"/>
  <c r="U145" i="57"/>
  <c r="U157" i="57" s="1"/>
  <c r="U173" i="57"/>
  <c r="U175" i="57" s="1"/>
  <c r="M207" i="57"/>
  <c r="M212" i="57" s="1"/>
  <c r="U14" i="57"/>
  <c r="U39" i="57" s="1"/>
  <c r="J57" i="57"/>
  <c r="J207" i="57" s="1"/>
  <c r="J212" i="57" s="1"/>
  <c r="J230" i="57" s="1"/>
  <c r="N57" i="57"/>
  <c r="N207" i="57" s="1"/>
  <c r="N212" i="57" s="1"/>
  <c r="N230" i="57" s="1"/>
  <c r="R57" i="57"/>
  <c r="K114" i="57"/>
  <c r="K127" i="57" s="1"/>
  <c r="O114" i="57"/>
  <c r="O127" i="57" s="1"/>
  <c r="S114" i="57"/>
  <c r="S127" i="57" s="1"/>
  <c r="U193" i="57"/>
  <c r="U196" i="57" s="1"/>
  <c r="K57" i="57"/>
  <c r="K207" i="57" s="1"/>
  <c r="K212" i="57" s="1"/>
  <c r="K230" i="57" s="1"/>
  <c r="O57" i="57"/>
  <c r="O207" i="57" s="1"/>
  <c r="O212" i="57" s="1"/>
  <c r="O230" i="57" s="1"/>
  <c r="S57" i="57"/>
  <c r="S207" i="57" s="1"/>
  <c r="S212" i="57" s="1"/>
  <c r="S230" i="57" s="1"/>
  <c r="F19" i="56"/>
  <c r="F18" i="56"/>
  <c r="F17" i="56"/>
  <c r="F16" i="56"/>
  <c r="F15" i="56"/>
  <c r="F14" i="56"/>
  <c r="F13" i="56"/>
  <c r="F9" i="56"/>
  <c r="F8" i="56"/>
  <c r="F7" i="56"/>
  <c r="F6" i="56"/>
  <c r="F5" i="56"/>
  <c r="F4" i="56"/>
  <c r="F3" i="56"/>
  <c r="P207" i="57" l="1"/>
  <c r="P212" i="57" s="1"/>
  <c r="P230" i="57" s="1"/>
  <c r="U127" i="57"/>
  <c r="U207" i="57" s="1"/>
  <c r="U212" i="57" s="1"/>
  <c r="U230" i="57" s="1"/>
  <c r="U231" i="57" s="1"/>
  <c r="U114" i="57"/>
  <c r="P127" i="57"/>
  <c r="U5" i="54" l="1"/>
  <c r="U6" i="54"/>
  <c r="U3" i="54"/>
  <c r="U168" i="54" l="1"/>
  <c r="T177" i="54" l="1"/>
  <c r="Q177" i="54"/>
  <c r="N177" i="54"/>
  <c r="K177" i="54"/>
  <c r="T173" i="54"/>
  <c r="S173" i="54"/>
  <c r="R173" i="54"/>
  <c r="Q173" i="54"/>
  <c r="P173" i="54"/>
  <c r="O173" i="54"/>
  <c r="N173" i="54"/>
  <c r="M173" i="54"/>
  <c r="L173" i="54"/>
  <c r="K173" i="54"/>
  <c r="J173" i="54"/>
  <c r="I173" i="54"/>
  <c r="L163" i="54"/>
  <c r="F378" i="27"/>
  <c r="F377" i="27"/>
  <c r="F376" i="27"/>
  <c r="F375" i="27"/>
  <c r="F374" i="27"/>
  <c r="F373" i="27"/>
  <c r="F372" i="27"/>
  <c r="C47" i="27"/>
  <c r="T217" i="54"/>
  <c r="T216" i="54"/>
  <c r="T215" i="54"/>
  <c r="R55" i="52" l="1"/>
  <c r="I55" i="52"/>
  <c r="R33" i="52"/>
  <c r="I33" i="52"/>
  <c r="C133" i="27" l="1"/>
  <c r="C132" i="27"/>
  <c r="C127" i="27"/>
  <c r="C126" i="27"/>
  <c r="C130" i="27"/>
  <c r="C129" i="27"/>
  <c r="I145" i="54" l="1"/>
  <c r="J145" i="54"/>
  <c r="K145" i="54"/>
  <c r="L145" i="54"/>
  <c r="M145" i="54"/>
  <c r="N145" i="54"/>
  <c r="O145" i="54"/>
  <c r="P145" i="54"/>
  <c r="Q145" i="54"/>
  <c r="R145" i="54"/>
  <c r="S145" i="54"/>
  <c r="T145" i="54"/>
  <c r="I193" i="54"/>
  <c r="I196" i="54" s="1"/>
  <c r="J193" i="54"/>
  <c r="J196" i="54" s="1"/>
  <c r="K193" i="54"/>
  <c r="K196" i="54" s="1"/>
  <c r="L193" i="54"/>
  <c r="L196" i="54" s="1"/>
  <c r="M193" i="54"/>
  <c r="M196" i="54" s="1"/>
  <c r="N193" i="54"/>
  <c r="N196" i="54" s="1"/>
  <c r="O193" i="54"/>
  <c r="O196" i="54" s="1"/>
  <c r="P193" i="54"/>
  <c r="P196" i="54" s="1"/>
  <c r="Q193" i="54"/>
  <c r="R193" i="54"/>
  <c r="R196" i="54" s="1"/>
  <c r="S193" i="54"/>
  <c r="S196" i="54" s="1"/>
  <c r="T193" i="54"/>
  <c r="T196" i="54" s="1"/>
  <c r="D177" i="26"/>
  <c r="D170" i="26"/>
  <c r="D163" i="26"/>
  <c r="I15" i="54"/>
  <c r="J15" i="54"/>
  <c r="K15" i="54"/>
  <c r="L15" i="54"/>
  <c r="M15" i="54"/>
  <c r="N15" i="54"/>
  <c r="O15" i="54"/>
  <c r="P15" i="54"/>
  <c r="Q15" i="54"/>
  <c r="R15" i="54"/>
  <c r="S15" i="54"/>
  <c r="T15" i="54"/>
  <c r="J14" i="54"/>
  <c r="K14" i="54"/>
  <c r="L14" i="54"/>
  <c r="M14" i="54"/>
  <c r="N14" i="54"/>
  <c r="O14" i="54"/>
  <c r="P14" i="54"/>
  <c r="Q14" i="54"/>
  <c r="R14" i="54"/>
  <c r="S14" i="54"/>
  <c r="T14" i="54"/>
  <c r="I14" i="54"/>
  <c r="J101" i="54"/>
  <c r="K101" i="54"/>
  <c r="L101" i="54"/>
  <c r="M101" i="54"/>
  <c r="N101" i="54"/>
  <c r="O101" i="54"/>
  <c r="P101" i="54"/>
  <c r="Q101" i="54"/>
  <c r="R101" i="54"/>
  <c r="S101" i="54"/>
  <c r="T101" i="54"/>
  <c r="I101" i="54"/>
  <c r="J100" i="54"/>
  <c r="K100" i="54"/>
  <c r="L100" i="54"/>
  <c r="M100" i="54"/>
  <c r="N100" i="54"/>
  <c r="O100" i="54"/>
  <c r="P100" i="54"/>
  <c r="Q100" i="54"/>
  <c r="R100" i="54"/>
  <c r="S100" i="54"/>
  <c r="T100" i="54"/>
  <c r="I100" i="54"/>
  <c r="J99" i="54"/>
  <c r="K99" i="54"/>
  <c r="L99" i="54"/>
  <c r="M99" i="54"/>
  <c r="N99" i="54"/>
  <c r="O99" i="54"/>
  <c r="P99" i="54"/>
  <c r="Q99" i="54"/>
  <c r="R99" i="54"/>
  <c r="S99" i="54"/>
  <c r="T99" i="54"/>
  <c r="I99" i="54"/>
  <c r="T195" i="54"/>
  <c r="S195" i="54"/>
  <c r="R195" i="54"/>
  <c r="Q195" i="54"/>
  <c r="P195" i="54"/>
  <c r="O195" i="54"/>
  <c r="N195" i="54"/>
  <c r="M195" i="54"/>
  <c r="L195" i="54"/>
  <c r="K195" i="54"/>
  <c r="J195" i="54"/>
  <c r="I195" i="54"/>
  <c r="T156" i="54"/>
  <c r="S156" i="54"/>
  <c r="R156" i="54"/>
  <c r="Q156" i="54"/>
  <c r="P156" i="54"/>
  <c r="O156" i="54"/>
  <c r="N156" i="54"/>
  <c r="M156" i="54"/>
  <c r="L156" i="54"/>
  <c r="K156" i="54"/>
  <c r="J156" i="54"/>
  <c r="I156" i="54"/>
  <c r="T153" i="54"/>
  <c r="S153" i="54"/>
  <c r="R153" i="54"/>
  <c r="Q153" i="54"/>
  <c r="M163" i="26" s="1"/>
  <c r="M166" i="26" s="1"/>
  <c r="P153" i="54"/>
  <c r="O153" i="54"/>
  <c r="N153" i="54"/>
  <c r="M153" i="54"/>
  <c r="I163" i="26" s="1"/>
  <c r="I166" i="26" s="1"/>
  <c r="L153" i="54"/>
  <c r="K153" i="54"/>
  <c r="J153" i="54"/>
  <c r="I153" i="54"/>
  <c r="E163" i="26" s="1"/>
  <c r="E166" i="26" s="1"/>
  <c r="E167" i="26" s="1"/>
  <c r="T149" i="54"/>
  <c r="P177" i="26" s="1"/>
  <c r="P180" i="26" s="1"/>
  <c r="S149" i="54"/>
  <c r="O177" i="26" s="1"/>
  <c r="O180" i="26" s="1"/>
  <c r="R149" i="54"/>
  <c r="N177" i="26" s="1"/>
  <c r="N180" i="26" s="1"/>
  <c r="Q149" i="54"/>
  <c r="P149" i="54"/>
  <c r="L177" i="26" s="1"/>
  <c r="L180" i="26" s="1"/>
  <c r="O149" i="54"/>
  <c r="K177" i="26" s="1"/>
  <c r="K180" i="26" s="1"/>
  <c r="N149" i="54"/>
  <c r="J177" i="26" s="1"/>
  <c r="J180" i="26" s="1"/>
  <c r="M149" i="54"/>
  <c r="I177" i="26" s="1"/>
  <c r="I180" i="26" s="1"/>
  <c r="L149" i="54"/>
  <c r="H177" i="26" s="1"/>
  <c r="H180" i="26" s="1"/>
  <c r="K149" i="54"/>
  <c r="G177" i="26" s="1"/>
  <c r="G180" i="26" s="1"/>
  <c r="J149" i="54"/>
  <c r="F177" i="26" s="1"/>
  <c r="F180" i="26" s="1"/>
  <c r="I149" i="54"/>
  <c r="E177" i="26" s="1"/>
  <c r="T147" i="54"/>
  <c r="P170" i="26" s="1"/>
  <c r="P173" i="26" s="1"/>
  <c r="S147" i="54"/>
  <c r="O170" i="26" s="1"/>
  <c r="O173" i="26" s="1"/>
  <c r="R147" i="54"/>
  <c r="N170" i="26" s="1"/>
  <c r="N173" i="26" s="1"/>
  <c r="Q147" i="54"/>
  <c r="M170" i="26" s="1"/>
  <c r="M173" i="26" s="1"/>
  <c r="P147" i="54"/>
  <c r="L170" i="26" s="1"/>
  <c r="L173" i="26" s="1"/>
  <c r="O147" i="54"/>
  <c r="K170" i="26" s="1"/>
  <c r="K173" i="26" s="1"/>
  <c r="N147" i="54"/>
  <c r="J170" i="26" s="1"/>
  <c r="J173" i="26" s="1"/>
  <c r="M147" i="54"/>
  <c r="I170" i="26" s="1"/>
  <c r="I173" i="26" s="1"/>
  <c r="L147" i="54"/>
  <c r="H170" i="26" s="1"/>
  <c r="H173" i="26" s="1"/>
  <c r="K147" i="54"/>
  <c r="G170" i="26" s="1"/>
  <c r="G173" i="26" s="1"/>
  <c r="J147" i="54"/>
  <c r="F170" i="26" s="1"/>
  <c r="F173" i="26" s="1"/>
  <c r="I147" i="54"/>
  <c r="E170" i="26" s="1"/>
  <c r="E173" i="26" s="1"/>
  <c r="E174" i="26" s="1"/>
  <c r="T126" i="54"/>
  <c r="S126" i="54"/>
  <c r="R126" i="54"/>
  <c r="Q126" i="54"/>
  <c r="P126" i="54"/>
  <c r="O126" i="54"/>
  <c r="N126" i="54"/>
  <c r="M126" i="54"/>
  <c r="L126" i="54"/>
  <c r="K126" i="54"/>
  <c r="J126" i="54"/>
  <c r="I126" i="54"/>
  <c r="T123" i="54"/>
  <c r="S123" i="54"/>
  <c r="R123" i="54"/>
  <c r="Q123" i="54"/>
  <c r="P123" i="54"/>
  <c r="O123" i="54"/>
  <c r="N123" i="54"/>
  <c r="M123" i="54"/>
  <c r="L123" i="54"/>
  <c r="K123" i="54"/>
  <c r="J123" i="54"/>
  <c r="I123" i="54"/>
  <c r="T119" i="54"/>
  <c r="S119" i="54"/>
  <c r="R119" i="54"/>
  <c r="Q119" i="54"/>
  <c r="P119" i="54"/>
  <c r="O119" i="54"/>
  <c r="N119" i="54"/>
  <c r="M119" i="54"/>
  <c r="L119" i="54"/>
  <c r="K119" i="54"/>
  <c r="J119" i="54"/>
  <c r="I119" i="54"/>
  <c r="T116" i="54"/>
  <c r="S116" i="54"/>
  <c r="R116" i="54"/>
  <c r="Q116" i="54"/>
  <c r="P116" i="54"/>
  <c r="O116" i="54"/>
  <c r="N116" i="54"/>
  <c r="M116" i="54"/>
  <c r="L116" i="54"/>
  <c r="K116" i="54"/>
  <c r="J116" i="54"/>
  <c r="I116" i="54"/>
  <c r="T96" i="54"/>
  <c r="S96" i="54"/>
  <c r="R96" i="54"/>
  <c r="Q96" i="54"/>
  <c r="P96" i="54"/>
  <c r="O96" i="54"/>
  <c r="N96" i="54"/>
  <c r="M96" i="54"/>
  <c r="L96" i="54"/>
  <c r="K96" i="54"/>
  <c r="J96" i="54"/>
  <c r="I96" i="54"/>
  <c r="T90" i="54"/>
  <c r="S90" i="54"/>
  <c r="R90" i="54"/>
  <c r="Q90" i="54"/>
  <c r="P90" i="54"/>
  <c r="O90" i="54"/>
  <c r="N90" i="54"/>
  <c r="M90" i="54"/>
  <c r="L90" i="54"/>
  <c r="K90" i="54"/>
  <c r="J90" i="54"/>
  <c r="I90" i="54"/>
  <c r="T87" i="54"/>
  <c r="T97" i="54" s="1"/>
  <c r="S87" i="54"/>
  <c r="S97" i="54" s="1"/>
  <c r="R87" i="54"/>
  <c r="R97" i="54" s="1"/>
  <c r="Q87" i="54"/>
  <c r="Q97" i="54" s="1"/>
  <c r="P87" i="54"/>
  <c r="P97" i="54" s="1"/>
  <c r="O87" i="54"/>
  <c r="O97" i="54" s="1"/>
  <c r="N87" i="54"/>
  <c r="N97" i="54" s="1"/>
  <c r="M87" i="54"/>
  <c r="M97" i="54" s="1"/>
  <c r="L87" i="54"/>
  <c r="L97" i="54" s="1"/>
  <c r="K87" i="54"/>
  <c r="K97" i="54" s="1"/>
  <c r="J87" i="54"/>
  <c r="J97" i="54" s="1"/>
  <c r="I87" i="54"/>
  <c r="I97" i="54" s="1"/>
  <c r="T56" i="54"/>
  <c r="S56" i="54"/>
  <c r="R56" i="54"/>
  <c r="Q56" i="54"/>
  <c r="P56" i="54"/>
  <c r="O56" i="54"/>
  <c r="N56" i="54"/>
  <c r="M56" i="54"/>
  <c r="L56" i="54"/>
  <c r="K56" i="54"/>
  <c r="J56" i="54"/>
  <c r="I56" i="54"/>
  <c r="T43" i="54"/>
  <c r="S43" i="54"/>
  <c r="R43" i="54"/>
  <c r="Q43" i="54"/>
  <c r="P43" i="54"/>
  <c r="O43" i="54"/>
  <c r="N43" i="54"/>
  <c r="M43" i="54"/>
  <c r="L43" i="54"/>
  <c r="K43" i="54"/>
  <c r="J43" i="54"/>
  <c r="I4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T205" i="54"/>
  <c r="S205" i="54"/>
  <c r="R205" i="54"/>
  <c r="Q205" i="54"/>
  <c r="P205" i="54"/>
  <c r="O205" i="54"/>
  <c r="N205" i="54"/>
  <c r="M205" i="54"/>
  <c r="L205" i="54"/>
  <c r="K205" i="54"/>
  <c r="J205" i="54"/>
  <c r="I205" i="54"/>
  <c r="T201" i="54"/>
  <c r="S201" i="54"/>
  <c r="R201" i="54"/>
  <c r="Q201" i="54"/>
  <c r="P201" i="54"/>
  <c r="O201" i="54"/>
  <c r="N201" i="54"/>
  <c r="M201" i="54"/>
  <c r="L201" i="54"/>
  <c r="K201" i="54"/>
  <c r="J201" i="54"/>
  <c r="I201" i="54"/>
  <c r="T181" i="54"/>
  <c r="S181" i="54"/>
  <c r="R181" i="54"/>
  <c r="Q181" i="54"/>
  <c r="P181" i="54"/>
  <c r="O181" i="54"/>
  <c r="N181" i="54"/>
  <c r="M181" i="54"/>
  <c r="L181" i="54"/>
  <c r="K181" i="54"/>
  <c r="J181" i="54"/>
  <c r="I181" i="54"/>
  <c r="T175" i="54"/>
  <c r="S175" i="54"/>
  <c r="R175" i="54"/>
  <c r="Q175" i="54"/>
  <c r="P175" i="54"/>
  <c r="O175" i="54"/>
  <c r="N175" i="54"/>
  <c r="M175" i="54"/>
  <c r="L175" i="54"/>
  <c r="K175" i="54"/>
  <c r="J175" i="54"/>
  <c r="I175" i="54"/>
  <c r="T130" i="54"/>
  <c r="S130" i="54"/>
  <c r="R130" i="54"/>
  <c r="Q130" i="54"/>
  <c r="P130" i="54"/>
  <c r="O130" i="54"/>
  <c r="N130" i="54"/>
  <c r="M130" i="54"/>
  <c r="L130" i="54"/>
  <c r="K130" i="54"/>
  <c r="J130" i="54"/>
  <c r="I130" i="54"/>
  <c r="M177" i="26" l="1"/>
  <c r="M180" i="26" s="1"/>
  <c r="T157" i="54"/>
  <c r="P157" i="54"/>
  <c r="L157" i="54"/>
  <c r="L163" i="26"/>
  <c r="L166" i="26" s="1"/>
  <c r="G163" i="26"/>
  <c r="G166" i="26" s="1"/>
  <c r="K163" i="26"/>
  <c r="K166" i="26" s="1"/>
  <c r="O163" i="26"/>
  <c r="O166" i="26" s="1"/>
  <c r="H163" i="26"/>
  <c r="H166" i="26" s="1"/>
  <c r="P163" i="26"/>
  <c r="P166" i="26" s="1"/>
  <c r="F163" i="26"/>
  <c r="F166" i="26" s="1"/>
  <c r="J163" i="26"/>
  <c r="J166" i="26" s="1"/>
  <c r="N163" i="26"/>
  <c r="N166" i="26" s="1"/>
  <c r="Q157" i="54"/>
  <c r="Q196" i="54"/>
  <c r="R157" i="54"/>
  <c r="N157" i="54"/>
  <c r="J157" i="54"/>
  <c r="M157" i="54"/>
  <c r="I157" i="54"/>
  <c r="S157" i="54"/>
  <c r="O157" i="54"/>
  <c r="K157" i="54"/>
  <c r="E180" i="26"/>
  <c r="E181" i="26" s="1"/>
  <c r="F179" i="26" s="1"/>
  <c r="R170" i="26"/>
  <c r="D137" i="27" s="1"/>
  <c r="E175" i="26"/>
  <c r="F172" i="26"/>
  <c r="E168" i="26"/>
  <c r="F165" i="26"/>
  <c r="J219" i="54"/>
  <c r="K219" i="54"/>
  <c r="L219" i="54"/>
  <c r="M219" i="54"/>
  <c r="N219" i="54"/>
  <c r="O219" i="54"/>
  <c r="P219" i="54"/>
  <c r="Q219" i="54"/>
  <c r="R219" i="54"/>
  <c r="S219" i="54"/>
  <c r="T219" i="54"/>
  <c r="I219" i="54"/>
  <c r="J218" i="54"/>
  <c r="K218" i="54"/>
  <c r="L218" i="54"/>
  <c r="M218" i="54"/>
  <c r="N218" i="54"/>
  <c r="O218" i="54"/>
  <c r="P218" i="54"/>
  <c r="Q218" i="54"/>
  <c r="R218" i="54"/>
  <c r="S218" i="54"/>
  <c r="T218" i="54"/>
  <c r="I218" i="54"/>
  <c r="J217" i="54"/>
  <c r="K217" i="54"/>
  <c r="L217" i="54"/>
  <c r="M217" i="54"/>
  <c r="N217" i="54"/>
  <c r="O217" i="54"/>
  <c r="P217" i="54"/>
  <c r="Q217" i="54"/>
  <c r="R217" i="54"/>
  <c r="S217" i="54"/>
  <c r="I217" i="54"/>
  <c r="J216" i="54"/>
  <c r="K216" i="54"/>
  <c r="L216" i="54"/>
  <c r="M216" i="54"/>
  <c r="N216" i="54"/>
  <c r="O216" i="54"/>
  <c r="P216" i="54"/>
  <c r="Q216" i="54"/>
  <c r="R216" i="54"/>
  <c r="S216" i="54"/>
  <c r="I216" i="54"/>
  <c r="J215" i="54"/>
  <c r="K215" i="54"/>
  <c r="L215" i="54"/>
  <c r="M215" i="54"/>
  <c r="N215" i="54"/>
  <c r="O215" i="54"/>
  <c r="P215" i="54"/>
  <c r="Q215" i="54"/>
  <c r="R215" i="54"/>
  <c r="S215" i="54"/>
  <c r="T220" i="54"/>
  <c r="I215" i="54"/>
  <c r="I228" i="54"/>
  <c r="J228" i="54"/>
  <c r="K228" i="54"/>
  <c r="L228" i="54"/>
  <c r="M228" i="54"/>
  <c r="N228" i="54"/>
  <c r="O228" i="54"/>
  <c r="P228" i="54"/>
  <c r="Q228" i="54"/>
  <c r="R228" i="54"/>
  <c r="S228" i="54"/>
  <c r="T228" i="54"/>
  <c r="P220" i="54" l="1"/>
  <c r="L220" i="54"/>
  <c r="K220" i="54"/>
  <c r="S220" i="54"/>
  <c r="O220" i="54"/>
  <c r="J220" i="54"/>
  <c r="Q220" i="54"/>
  <c r="M220" i="54"/>
  <c r="R220" i="54"/>
  <c r="N220" i="54"/>
  <c r="D140" i="27"/>
  <c r="D139" i="27"/>
  <c r="R177" i="26"/>
  <c r="D124" i="27" s="1"/>
  <c r="R163" i="26"/>
  <c r="D142" i="27" s="1"/>
  <c r="E182" i="26"/>
  <c r="F181" i="26"/>
  <c r="G179" i="26" s="1"/>
  <c r="F174" i="26"/>
  <c r="G172" i="26" s="1"/>
  <c r="F167" i="26"/>
  <c r="G165" i="26" s="1"/>
  <c r="R114" i="54"/>
  <c r="R127" i="54" s="1"/>
  <c r="N114" i="54"/>
  <c r="N127" i="54" s="1"/>
  <c r="J114" i="54"/>
  <c r="J127" i="54" s="1"/>
  <c r="S114" i="54"/>
  <c r="S127" i="54" s="1"/>
  <c r="O114" i="54"/>
  <c r="O127" i="54" s="1"/>
  <c r="K114" i="54"/>
  <c r="K127" i="54" s="1"/>
  <c r="T114" i="54"/>
  <c r="T127" i="54" s="1"/>
  <c r="P114" i="54"/>
  <c r="P127" i="54" s="1"/>
  <c r="L114" i="54"/>
  <c r="L127" i="54" s="1"/>
  <c r="I114" i="54"/>
  <c r="I127" i="54" s="1"/>
  <c r="Q114" i="54"/>
  <c r="Q127" i="54" s="1"/>
  <c r="M114" i="54"/>
  <c r="M127" i="54" s="1"/>
  <c r="S39" i="54"/>
  <c r="O39" i="54"/>
  <c r="K39" i="54"/>
  <c r="R39" i="54"/>
  <c r="N39" i="54"/>
  <c r="J39" i="54"/>
  <c r="T39" i="54"/>
  <c r="P39" i="54"/>
  <c r="L39" i="54"/>
  <c r="I39" i="54"/>
  <c r="Q39" i="54"/>
  <c r="M39" i="54"/>
  <c r="L57" i="54"/>
  <c r="U99" i="54"/>
  <c r="U101" i="54"/>
  <c r="U100" i="54"/>
  <c r="U15" i="54"/>
  <c r="U14" i="54"/>
  <c r="U216" i="54"/>
  <c r="U218" i="54"/>
  <c r="U217" i="54"/>
  <c r="U219" i="54"/>
  <c r="U215" i="54"/>
  <c r="I220" i="54"/>
  <c r="U220" i="54" l="1"/>
  <c r="D145" i="27"/>
  <c r="D144" i="27"/>
  <c r="D127" i="27"/>
  <c r="D126" i="27"/>
  <c r="F175" i="26"/>
  <c r="N57" i="54"/>
  <c r="N207" i="54" s="1"/>
  <c r="S57" i="54"/>
  <c r="S207" i="54" s="1"/>
  <c r="I57" i="54"/>
  <c r="I207" i="54" s="1"/>
  <c r="J57" i="54"/>
  <c r="J207" i="54" s="1"/>
  <c r="O57" i="54"/>
  <c r="O207" i="54" s="1"/>
  <c r="Q57" i="54"/>
  <c r="Q207" i="54" s="1"/>
  <c r="T57" i="54"/>
  <c r="K57" i="54"/>
  <c r="K207" i="54" s="1"/>
  <c r="M57" i="54"/>
  <c r="M207" i="54" s="1"/>
  <c r="P57" i="54"/>
  <c r="R57" i="54"/>
  <c r="R207" i="54" s="1"/>
  <c r="G181" i="26"/>
  <c r="H179" i="26" s="1"/>
  <c r="F182" i="26"/>
  <c r="F168" i="26"/>
  <c r="G174" i="26"/>
  <c r="H172" i="26" s="1"/>
  <c r="G167" i="26"/>
  <c r="H165" i="26" s="1"/>
  <c r="L207" i="54"/>
  <c r="P207" i="54"/>
  <c r="D130" i="27" l="1"/>
  <c r="D129" i="27"/>
  <c r="D133" i="27"/>
  <c r="D132" i="27"/>
  <c r="G168" i="26"/>
  <c r="G175" i="26"/>
  <c r="T207" i="54"/>
  <c r="T212" i="54" s="1"/>
  <c r="T230" i="54" s="1"/>
  <c r="H181" i="26"/>
  <c r="I179" i="26" s="1"/>
  <c r="G182" i="26"/>
  <c r="R212" i="54"/>
  <c r="R230" i="54" s="1"/>
  <c r="M212" i="54"/>
  <c r="M230" i="54" s="1"/>
  <c r="S212" i="54"/>
  <c r="S230" i="54" s="1"/>
  <c r="O212" i="54"/>
  <c r="O230" i="54" s="1"/>
  <c r="I212" i="54"/>
  <c r="I230" i="54" s="1"/>
  <c r="Q212" i="54"/>
  <c r="Q230" i="54" s="1"/>
  <c r="N212" i="54"/>
  <c r="N230" i="54" s="1"/>
  <c r="J212" i="54"/>
  <c r="J230" i="54" s="1"/>
  <c r="L212" i="54"/>
  <c r="L230" i="54" s="1"/>
  <c r="P212" i="54"/>
  <c r="P230" i="54" s="1"/>
  <c r="K212" i="54"/>
  <c r="K230" i="54" s="1"/>
  <c r="H174" i="26"/>
  <c r="I172" i="26" s="1"/>
  <c r="H167" i="26"/>
  <c r="I165" i="26" s="1"/>
  <c r="U185" i="54"/>
  <c r="U12" i="54"/>
  <c r="U38" i="54"/>
  <c r="U223" i="54"/>
  <c r="U234" i="54"/>
  <c r="U235" i="54"/>
  <c r="U225" i="54"/>
  <c r="U226" i="54"/>
  <c r="U16" i="54"/>
  <c r="U17" i="54"/>
  <c r="U18" i="54"/>
  <c r="U19" i="54"/>
  <c r="U20" i="54"/>
  <c r="U21" i="54"/>
  <c r="U23" i="54"/>
  <c r="U24" i="54"/>
  <c r="U25" i="54"/>
  <c r="U26" i="54"/>
  <c r="U27" i="54"/>
  <c r="U28" i="54"/>
  <c r="U29" i="54"/>
  <c r="U30" i="54"/>
  <c r="U31" i="54"/>
  <c r="U32" i="54"/>
  <c r="U33" i="54"/>
  <c r="U34" i="54"/>
  <c r="U35" i="54"/>
  <c r="U36" i="54"/>
  <c r="U37" i="54"/>
  <c r="U40" i="54"/>
  <c r="U41" i="54"/>
  <c r="U42" i="54"/>
  <c r="U227" i="54"/>
  <c r="U55" i="54"/>
  <c r="U44" i="54"/>
  <c r="U45" i="54"/>
  <c r="U46" i="54"/>
  <c r="U47" i="54"/>
  <c r="U48" i="54"/>
  <c r="U49" i="54"/>
  <c r="U50" i="54"/>
  <c r="U51" i="54"/>
  <c r="U52" i="54"/>
  <c r="U53" i="54"/>
  <c r="U54" i="54"/>
  <c r="U86" i="54"/>
  <c r="U59" i="54"/>
  <c r="U60" i="54"/>
  <c r="U61" i="54"/>
  <c r="U62" i="54"/>
  <c r="U63" i="54"/>
  <c r="U64" i="54"/>
  <c r="U65" i="54"/>
  <c r="U66" i="54"/>
  <c r="U67" i="54"/>
  <c r="U68" i="54"/>
  <c r="U69" i="54"/>
  <c r="U70" i="54"/>
  <c r="U71" i="54"/>
  <c r="U72" i="54"/>
  <c r="U73" i="54"/>
  <c r="U74" i="54"/>
  <c r="U75" i="54"/>
  <c r="U76" i="54"/>
  <c r="U77" i="54"/>
  <c r="U78" i="54"/>
  <c r="U79" i="54"/>
  <c r="U80" i="54"/>
  <c r="U81" i="54"/>
  <c r="U82" i="54"/>
  <c r="U83" i="54"/>
  <c r="U84" i="54"/>
  <c r="U85" i="54"/>
  <c r="U88" i="54"/>
  <c r="U89" i="54"/>
  <c r="U91" i="54"/>
  <c r="U92" i="54"/>
  <c r="U93" i="54"/>
  <c r="U94" i="54"/>
  <c r="U95" i="54"/>
  <c r="U102" i="54"/>
  <c r="U103" i="54"/>
  <c r="U104" i="54"/>
  <c r="U105" i="54"/>
  <c r="U106" i="54"/>
  <c r="U107" i="54"/>
  <c r="U108" i="54"/>
  <c r="U109" i="54"/>
  <c r="U110" i="54"/>
  <c r="U111" i="54"/>
  <c r="U112" i="54"/>
  <c r="U113" i="54"/>
  <c r="U224" i="54"/>
  <c r="U236" i="54"/>
  <c r="U237" i="54"/>
  <c r="U238" i="54"/>
  <c r="U115" i="54"/>
  <c r="U116" i="54" s="1"/>
  <c r="U117" i="54"/>
  <c r="U118" i="54"/>
  <c r="U120" i="54"/>
  <c r="U121" i="54"/>
  <c r="U122" i="54"/>
  <c r="U124" i="54"/>
  <c r="U125" i="54"/>
  <c r="U129" i="54"/>
  <c r="U130" i="54" s="1"/>
  <c r="U133" i="54"/>
  <c r="U134" i="54"/>
  <c r="U135" i="54"/>
  <c r="U136" i="54"/>
  <c r="U137" i="54"/>
  <c r="U138" i="54"/>
  <c r="U139" i="54"/>
  <c r="U140" i="54"/>
  <c r="U141" i="54"/>
  <c r="U142" i="54"/>
  <c r="U132" i="54"/>
  <c r="U146" i="54"/>
  <c r="U147" i="54" s="1"/>
  <c r="U148" i="54"/>
  <c r="U149" i="54" s="1"/>
  <c r="U143" i="54"/>
  <c r="U144" i="54"/>
  <c r="U151" i="54"/>
  <c r="U152" i="54"/>
  <c r="U150" i="54"/>
  <c r="U155" i="54"/>
  <c r="U154" i="54"/>
  <c r="U171" i="54"/>
  <c r="U172" i="54"/>
  <c r="U173" i="54"/>
  <c r="U174" i="54"/>
  <c r="U159" i="54"/>
  <c r="U160" i="54"/>
  <c r="U161" i="54"/>
  <c r="U162" i="54"/>
  <c r="U163" i="54"/>
  <c r="U164" i="54"/>
  <c r="U165" i="54"/>
  <c r="U166" i="54"/>
  <c r="U167" i="54"/>
  <c r="U169" i="54"/>
  <c r="U170" i="54"/>
  <c r="U177" i="54"/>
  <c r="U178" i="54"/>
  <c r="U179" i="54"/>
  <c r="U180" i="54"/>
  <c r="U183" i="54"/>
  <c r="U184" i="54"/>
  <c r="U186" i="54"/>
  <c r="U188" i="54"/>
  <c r="U189" i="54"/>
  <c r="U190" i="54"/>
  <c r="U191" i="54"/>
  <c r="U192" i="54"/>
  <c r="U194" i="54"/>
  <c r="U195" i="54" s="1"/>
  <c r="U198" i="54"/>
  <c r="U199" i="54"/>
  <c r="U200" i="54"/>
  <c r="U203" i="54"/>
  <c r="U204" i="54"/>
  <c r="U22" i="54"/>
  <c r="U228" i="54" l="1"/>
  <c r="U193" i="54"/>
  <c r="U196" i="54" s="1"/>
  <c r="U145" i="54"/>
  <c r="U205" i="54"/>
  <c r="U13" i="54"/>
  <c r="U39" i="54"/>
  <c r="U175" i="54"/>
  <c r="H175" i="26"/>
  <c r="U87" i="54"/>
  <c r="U153" i="54"/>
  <c r="U156" i="54"/>
  <c r="I181" i="26"/>
  <c r="J179" i="26" s="1"/>
  <c r="H182" i="26"/>
  <c r="I174" i="26"/>
  <c r="J172" i="26" s="1"/>
  <c r="I167" i="26"/>
  <c r="J165" i="26" s="1"/>
  <c r="H168" i="26"/>
  <c r="U119" i="54"/>
  <c r="U90" i="54"/>
  <c r="U181" i="54"/>
  <c r="U201" i="54"/>
  <c r="U43" i="54"/>
  <c r="U126" i="54"/>
  <c r="U114" i="54"/>
  <c r="U123" i="54"/>
  <c r="U96" i="54"/>
  <c r="U56" i="54"/>
  <c r="C122" i="27"/>
  <c r="C121" i="27"/>
  <c r="D156" i="26"/>
  <c r="P156" i="26" s="1"/>
  <c r="D52" i="26"/>
  <c r="D45" i="26"/>
  <c r="V85" i="57" l="1"/>
  <c r="X85" i="57" s="1"/>
  <c r="Z85" i="57" s="1"/>
  <c r="V81" i="57"/>
  <c r="X81" i="57" s="1"/>
  <c r="Z81" i="57" s="1"/>
  <c r="V77" i="57"/>
  <c r="X77" i="57" s="1"/>
  <c r="Z77" i="57" s="1"/>
  <c r="V73" i="57"/>
  <c r="X73" i="57" s="1"/>
  <c r="Z73" i="57" s="1"/>
  <c r="V69" i="57"/>
  <c r="X69" i="57" s="1"/>
  <c r="Z69" i="57" s="1"/>
  <c r="V65" i="57"/>
  <c r="X65" i="57" s="1"/>
  <c r="Z65" i="57" s="1"/>
  <c r="V61" i="57"/>
  <c r="X61" i="57" s="1"/>
  <c r="Z61" i="57" s="1"/>
  <c r="V37" i="57"/>
  <c r="X37" i="57" s="1"/>
  <c r="Z37" i="57" s="1"/>
  <c r="V33" i="57"/>
  <c r="X33" i="57" s="1"/>
  <c r="Z33" i="57" s="1"/>
  <c r="Z3" i="59" s="1"/>
  <c r="V29" i="57"/>
  <c r="X29" i="57" s="1"/>
  <c r="Z29" i="57" s="1"/>
  <c r="V25" i="57"/>
  <c r="X25" i="57" s="1"/>
  <c r="Z25" i="57" s="1"/>
  <c r="V22" i="57"/>
  <c r="X22" i="57" s="1"/>
  <c r="Z22" i="57" s="1"/>
  <c r="V14" i="57"/>
  <c r="X14" i="57" s="1"/>
  <c r="Z14" i="57" s="1"/>
  <c r="V71" i="57"/>
  <c r="X71" i="57" s="1"/>
  <c r="Z71" i="57" s="1"/>
  <c r="V35" i="57"/>
  <c r="X35" i="57" s="1"/>
  <c r="Z35" i="57" s="1"/>
  <c r="V84" i="57"/>
  <c r="X84" i="57" s="1"/>
  <c r="Z84" i="57" s="1"/>
  <c r="V80" i="57"/>
  <c r="X80" i="57" s="1"/>
  <c r="Z80" i="57" s="1"/>
  <c r="V76" i="57"/>
  <c r="X76" i="57" s="1"/>
  <c r="Z76" i="57" s="1"/>
  <c r="V72" i="57"/>
  <c r="X72" i="57" s="1"/>
  <c r="Z72" i="57" s="1"/>
  <c r="V68" i="57"/>
  <c r="X68" i="57" s="1"/>
  <c r="Z68" i="57" s="1"/>
  <c r="V64" i="57"/>
  <c r="X64" i="57" s="1"/>
  <c r="Z64" i="57" s="1"/>
  <c r="V60" i="57"/>
  <c r="X60" i="57" s="1"/>
  <c r="Z60" i="57" s="1"/>
  <c r="V32" i="57"/>
  <c r="X32" i="57" s="1"/>
  <c r="Z32" i="57" s="1"/>
  <c r="V28" i="57"/>
  <c r="X28" i="57" s="1"/>
  <c r="Z28" i="57" s="1"/>
  <c r="V24" i="57"/>
  <c r="X24" i="57" s="1"/>
  <c r="Z24" i="57" s="1"/>
  <c r="V83" i="57"/>
  <c r="X83" i="57" s="1"/>
  <c r="Z83" i="57" s="1"/>
  <c r="V75" i="57"/>
  <c r="X75" i="57" s="1"/>
  <c r="Z75" i="57" s="1"/>
  <c r="V63" i="57"/>
  <c r="X63" i="57" s="1"/>
  <c r="Z63" i="57" s="1"/>
  <c r="V59" i="57"/>
  <c r="X59" i="57" s="1"/>
  <c r="Z59" i="57" s="1"/>
  <c r="V27" i="57"/>
  <c r="X27" i="57" s="1"/>
  <c r="Z27" i="57" s="1"/>
  <c r="V86" i="57"/>
  <c r="X86" i="57" s="1"/>
  <c r="Z86" i="57" s="1"/>
  <c r="V82" i="57"/>
  <c r="X82" i="57" s="1"/>
  <c r="Z82" i="57" s="1"/>
  <c r="V78" i="57"/>
  <c r="X78" i="57" s="1"/>
  <c r="Z78" i="57" s="1"/>
  <c r="V74" i="57"/>
  <c r="X74" i="57" s="1"/>
  <c r="Z74" i="57" s="1"/>
  <c r="V70" i="57"/>
  <c r="X70" i="57" s="1"/>
  <c r="Z70" i="57" s="1"/>
  <c r="V66" i="57"/>
  <c r="X66" i="57" s="1"/>
  <c r="Z66" i="57" s="1"/>
  <c r="V62" i="57"/>
  <c r="X62" i="57" s="1"/>
  <c r="Z62" i="57" s="1"/>
  <c r="V38" i="57"/>
  <c r="X38" i="57" s="1"/>
  <c r="Z38" i="57" s="1"/>
  <c r="V34" i="57"/>
  <c r="X34" i="57" s="1"/>
  <c r="Z34" i="57" s="1"/>
  <c r="V30" i="57"/>
  <c r="X30" i="57" s="1"/>
  <c r="Z30" i="57" s="1"/>
  <c r="V26" i="57"/>
  <c r="X26" i="57" s="1"/>
  <c r="Z26" i="57" s="1"/>
  <c r="V15" i="57"/>
  <c r="X15" i="57" s="1"/>
  <c r="Z15" i="57" s="1"/>
  <c r="V79" i="57"/>
  <c r="X79" i="57" s="1"/>
  <c r="Z79" i="57" s="1"/>
  <c r="V67" i="57"/>
  <c r="X67" i="57" s="1"/>
  <c r="Z67" i="57" s="1"/>
  <c r="V31" i="57"/>
  <c r="X31" i="57" s="1"/>
  <c r="Z31" i="57" s="1"/>
  <c r="U57" i="54"/>
  <c r="U207" i="54"/>
  <c r="U127" i="54"/>
  <c r="U157" i="54"/>
  <c r="I182" i="26"/>
  <c r="J181" i="26"/>
  <c r="K179" i="26" s="1"/>
  <c r="I175" i="26"/>
  <c r="J174" i="26"/>
  <c r="K172" i="26" s="1"/>
  <c r="I168" i="26"/>
  <c r="J167" i="26"/>
  <c r="K165" i="26" s="1"/>
  <c r="U97" i="54"/>
  <c r="Z207" i="57" l="1"/>
  <c r="U212" i="54"/>
  <c r="U230" i="54" s="1"/>
  <c r="J175" i="26"/>
  <c r="J182" i="26"/>
  <c r="K181" i="26"/>
  <c r="L179" i="26" s="1"/>
  <c r="K174" i="26"/>
  <c r="L172" i="26" s="1"/>
  <c r="K167" i="26"/>
  <c r="L165" i="26" s="1"/>
  <c r="J168" i="26"/>
  <c r="D227" i="26"/>
  <c r="A2" i="26"/>
  <c r="A1" i="26"/>
  <c r="I227" i="26" l="1"/>
  <c r="E227" i="26"/>
  <c r="P227" i="26"/>
  <c r="H227" i="26"/>
  <c r="K227" i="26"/>
  <c r="J227" i="26"/>
  <c r="O227" i="26"/>
  <c r="M227" i="26"/>
  <c r="N227" i="26"/>
  <c r="F227" i="26"/>
  <c r="G227" i="26"/>
  <c r="L227" i="26"/>
  <c r="K182" i="26"/>
  <c r="L181" i="26"/>
  <c r="M179" i="26" s="1"/>
  <c r="U231" i="54"/>
  <c r="K175" i="26"/>
  <c r="L174" i="26"/>
  <c r="M172" i="26" s="1"/>
  <c r="L167" i="26"/>
  <c r="M165" i="26" s="1"/>
  <c r="K168" i="26"/>
  <c r="A1" i="27"/>
  <c r="A2" i="27"/>
  <c r="A288" i="27"/>
  <c r="D337" i="26"/>
  <c r="R227" i="26" l="1"/>
  <c r="L182" i="26"/>
  <c r="M181" i="26"/>
  <c r="N179" i="26" s="1"/>
  <c r="L175" i="26"/>
  <c r="M174" i="26"/>
  <c r="N172" i="26" s="1"/>
  <c r="M167" i="26"/>
  <c r="N165" i="26" s="1"/>
  <c r="L168" i="26"/>
  <c r="D14" i="26"/>
  <c r="I14" i="26" l="1"/>
  <c r="O14" i="26"/>
  <c r="E14" i="26"/>
  <c r="K14" i="26"/>
  <c r="N14" i="26"/>
  <c r="P14" i="26"/>
  <c r="G14" i="26"/>
  <c r="J14" i="26"/>
  <c r="M14" i="26"/>
  <c r="H14" i="26"/>
  <c r="F14" i="26"/>
  <c r="L14" i="26"/>
  <c r="M182" i="26"/>
  <c r="N181" i="26"/>
  <c r="O179" i="26" s="1"/>
  <c r="N174" i="26"/>
  <c r="O172" i="26" s="1"/>
  <c r="M175" i="26"/>
  <c r="N167" i="26"/>
  <c r="O165" i="26" s="1"/>
  <c r="M168" i="26"/>
  <c r="N182" i="26" l="1"/>
  <c r="O181" i="26"/>
  <c r="P179" i="26" s="1"/>
  <c r="O174" i="26"/>
  <c r="P172" i="26" s="1"/>
  <c r="N175" i="26"/>
  <c r="O167" i="26"/>
  <c r="P165" i="26" s="1"/>
  <c r="N168" i="26"/>
  <c r="P181" i="26" l="1"/>
  <c r="P182" i="26" s="1"/>
  <c r="O182" i="26"/>
  <c r="O175" i="26"/>
  <c r="P174" i="26"/>
  <c r="P175" i="26" s="1"/>
  <c r="P167" i="26"/>
  <c r="P168" i="26" s="1"/>
  <c r="O168" i="26"/>
  <c r="C184" i="27"/>
  <c r="C183" i="27"/>
  <c r="C181" i="27"/>
  <c r="C180" i="27"/>
  <c r="C178" i="27"/>
  <c r="C177" i="27"/>
  <c r="C176" i="27"/>
  <c r="S163" i="26" l="1"/>
  <c r="E142" i="27" s="1"/>
  <c r="S177" i="26"/>
  <c r="E124" i="27" s="1"/>
  <c r="S170" i="26"/>
  <c r="E137" i="27" s="1"/>
  <c r="C48" i="27"/>
  <c r="F368" i="27"/>
  <c r="C99" i="27"/>
  <c r="C307" i="27"/>
  <c r="C306" i="27"/>
  <c r="E145" i="27" l="1"/>
  <c r="E144" i="27"/>
  <c r="E127" i="27"/>
  <c r="E126" i="27"/>
  <c r="E139" i="27"/>
  <c r="E140" i="27"/>
  <c r="C198" i="27"/>
  <c r="C197" i="27"/>
  <c r="C195" i="27"/>
  <c r="C194" i="27"/>
  <c r="C191" i="27"/>
  <c r="C190" i="27"/>
  <c r="F367" i="27"/>
  <c r="C171" i="27"/>
  <c r="C170" i="27"/>
  <c r="C168" i="27"/>
  <c r="C167" i="27"/>
  <c r="C165" i="27"/>
  <c r="C164" i="27"/>
  <c r="C163" i="27"/>
  <c r="C149" i="27"/>
  <c r="C157" i="27"/>
  <c r="C156" i="27"/>
  <c r="C154" i="27"/>
  <c r="C153" i="27"/>
  <c r="C151" i="27"/>
  <c r="C150" i="27"/>
  <c r="C115" i="27"/>
  <c r="C114" i="27"/>
  <c r="C112" i="27"/>
  <c r="C111" i="27"/>
  <c r="C109" i="27"/>
  <c r="C108" i="27"/>
  <c r="C107" i="27"/>
  <c r="F362" i="27"/>
  <c r="F363" i="27"/>
  <c r="F364" i="27"/>
  <c r="F365" i="27"/>
  <c r="F366" i="27"/>
  <c r="C30" i="27"/>
  <c r="C29" i="27"/>
  <c r="C25" i="27"/>
  <c r="C24" i="27"/>
  <c r="C20" i="27"/>
  <c r="C19" i="27"/>
  <c r="C15" i="27"/>
  <c r="C14" i="27"/>
  <c r="E133" i="27" l="1"/>
  <c r="E132" i="27"/>
  <c r="E130" i="27"/>
  <c r="E129" i="27"/>
  <c r="A281" i="27"/>
  <c r="A274" i="27"/>
  <c r="C92" i="27"/>
  <c r="C74" i="27" l="1"/>
  <c r="D201" i="26" l="1"/>
  <c r="H201" i="26" l="1"/>
  <c r="L201" i="26"/>
  <c r="L204" i="26" s="1"/>
  <c r="P201" i="26"/>
  <c r="P204" i="26" s="1"/>
  <c r="J201" i="26"/>
  <c r="J204" i="26" s="1"/>
  <c r="N201" i="26"/>
  <c r="I201" i="26"/>
  <c r="I204" i="26" s="1"/>
  <c r="E201" i="26"/>
  <c r="G201" i="26"/>
  <c r="K201" i="26"/>
  <c r="O201" i="26"/>
  <c r="O204" i="26" s="1"/>
  <c r="F201" i="26"/>
  <c r="F204" i="26" s="1"/>
  <c r="M201" i="26"/>
  <c r="M194" i="26" s="1"/>
  <c r="D330" i="26"/>
  <c r="D209" i="26"/>
  <c r="D124" i="26"/>
  <c r="D322" i="26"/>
  <c r="D314" i="26"/>
  <c r="D298" i="26"/>
  <c r="D234" i="26"/>
  <c r="D250" i="26"/>
  <c r="D266" i="26"/>
  <c r="D194" i="26"/>
  <c r="D149" i="26"/>
  <c r="D133" i="26"/>
  <c r="D108" i="26"/>
  <c r="D92" i="26"/>
  <c r="D60" i="26"/>
  <c r="D76" i="26"/>
  <c r="D30" i="26"/>
  <c r="D306" i="26"/>
  <c r="D290" i="26"/>
  <c r="D274" i="26"/>
  <c r="D242" i="26"/>
  <c r="D258" i="26"/>
  <c r="D220" i="26"/>
  <c r="D186" i="26"/>
  <c r="D141" i="26"/>
  <c r="D116" i="26"/>
  <c r="D100" i="26"/>
  <c r="D84" i="26"/>
  <c r="D68" i="26"/>
  <c r="D38" i="26"/>
  <c r="D22" i="26"/>
  <c r="G194" i="26" l="1"/>
  <c r="E194" i="26"/>
  <c r="K194" i="26"/>
  <c r="N194" i="26"/>
  <c r="H194" i="26"/>
  <c r="N204" i="26"/>
  <c r="K204" i="26"/>
  <c r="H204" i="26"/>
  <c r="H84" i="26"/>
  <c r="L84" i="26"/>
  <c r="P84" i="26"/>
  <c r="J84" i="26"/>
  <c r="M84" i="26"/>
  <c r="G84" i="26"/>
  <c r="K84" i="26"/>
  <c r="O84" i="26"/>
  <c r="F84" i="26"/>
  <c r="N84" i="26"/>
  <c r="I84" i="26"/>
  <c r="E84" i="26"/>
  <c r="F68" i="26"/>
  <c r="E68" i="26"/>
  <c r="G68" i="26"/>
  <c r="N68" i="26"/>
  <c r="L68" i="26"/>
  <c r="M68" i="26"/>
  <c r="O68" i="26"/>
  <c r="I68" i="26"/>
  <c r="K68" i="26"/>
  <c r="P68" i="26"/>
  <c r="J68" i="26"/>
  <c r="H68" i="26"/>
  <c r="F141" i="26"/>
  <c r="J141" i="26"/>
  <c r="N141" i="26"/>
  <c r="N144" i="26" s="1"/>
  <c r="L141" i="26"/>
  <c r="K141" i="26"/>
  <c r="I141" i="26"/>
  <c r="M141" i="26"/>
  <c r="E141" i="26"/>
  <c r="H141" i="26"/>
  <c r="P141" i="26"/>
  <c r="G141" i="26"/>
  <c r="O141" i="26"/>
  <c r="H242" i="26"/>
  <c r="P242" i="26"/>
  <c r="M242" i="26"/>
  <c r="O242" i="26"/>
  <c r="I242" i="26"/>
  <c r="K242" i="26"/>
  <c r="G242" i="26"/>
  <c r="F242" i="26"/>
  <c r="L242" i="26"/>
  <c r="N242" i="26"/>
  <c r="J242" i="26"/>
  <c r="E242" i="26"/>
  <c r="J30" i="26"/>
  <c r="E30" i="26"/>
  <c r="L30" i="26"/>
  <c r="K30" i="26"/>
  <c r="H30" i="26"/>
  <c r="M30" i="26"/>
  <c r="I30" i="26"/>
  <c r="O30" i="26"/>
  <c r="N30" i="26"/>
  <c r="G30" i="26"/>
  <c r="P30" i="26"/>
  <c r="F30" i="26"/>
  <c r="J108" i="26"/>
  <c r="K108" i="26"/>
  <c r="F108" i="26"/>
  <c r="L108" i="26"/>
  <c r="N108" i="26"/>
  <c r="G108" i="26"/>
  <c r="O108" i="26"/>
  <c r="H108" i="26"/>
  <c r="M108" i="26"/>
  <c r="P108" i="26"/>
  <c r="E108" i="26"/>
  <c r="I108" i="26"/>
  <c r="H266" i="26"/>
  <c r="H269" i="26" s="1"/>
  <c r="L266" i="26"/>
  <c r="L269" i="26" s="1"/>
  <c r="P266" i="26"/>
  <c r="P269" i="26" s="1"/>
  <c r="F266" i="26"/>
  <c r="F269" i="26" s="1"/>
  <c r="N266" i="26"/>
  <c r="N269" i="26" s="1"/>
  <c r="M266" i="26"/>
  <c r="M269" i="26" s="1"/>
  <c r="G266" i="26"/>
  <c r="G269" i="26" s="1"/>
  <c r="K266" i="26"/>
  <c r="K269" i="26" s="1"/>
  <c r="O266" i="26"/>
  <c r="O269" i="26" s="1"/>
  <c r="J266" i="26"/>
  <c r="J269" i="26" s="1"/>
  <c r="I266" i="26"/>
  <c r="I269" i="26" s="1"/>
  <c r="E266" i="26"/>
  <c r="E269" i="26" s="1"/>
  <c r="E270" i="26" s="1"/>
  <c r="H298" i="26"/>
  <c r="H301" i="26" s="1"/>
  <c r="L298" i="26"/>
  <c r="L301" i="26" s="1"/>
  <c r="P298" i="26"/>
  <c r="P301" i="26" s="1"/>
  <c r="F298" i="26"/>
  <c r="F301" i="26" s="1"/>
  <c r="N298" i="26"/>
  <c r="N301" i="26" s="1"/>
  <c r="I298" i="26"/>
  <c r="I301" i="26" s="1"/>
  <c r="E298" i="26"/>
  <c r="G298" i="26"/>
  <c r="G301" i="26" s="1"/>
  <c r="K298" i="26"/>
  <c r="K301" i="26" s="1"/>
  <c r="O298" i="26"/>
  <c r="O301" i="26" s="1"/>
  <c r="J298" i="26"/>
  <c r="J301" i="26" s="1"/>
  <c r="M298" i="26"/>
  <c r="M301" i="26" s="1"/>
  <c r="N52" i="26"/>
  <c r="N55" i="26" s="1"/>
  <c r="F38" i="26"/>
  <c r="M52" i="26"/>
  <c r="M55" i="26" s="1"/>
  <c r="L52" i="26"/>
  <c r="L55" i="26" s="1"/>
  <c r="O45" i="26"/>
  <c r="O48" i="26" s="1"/>
  <c r="P38" i="26"/>
  <c r="K45" i="26"/>
  <c r="K48" i="26" s="1"/>
  <c r="O52" i="26"/>
  <c r="O55" i="26" s="1"/>
  <c r="P52" i="26"/>
  <c r="P55" i="26" s="1"/>
  <c r="F45" i="26"/>
  <c r="F48" i="26" s="1"/>
  <c r="G38" i="26"/>
  <c r="M38" i="26"/>
  <c r="M45" i="26"/>
  <c r="M48" i="26" s="1"/>
  <c r="K52" i="26"/>
  <c r="K55" i="26" s="1"/>
  <c r="I45" i="26"/>
  <c r="I48" i="26" s="1"/>
  <c r="P45" i="26"/>
  <c r="P48" i="26" s="1"/>
  <c r="N38" i="26"/>
  <c r="H38" i="26"/>
  <c r="E38" i="26"/>
  <c r="E45" i="26"/>
  <c r="G52" i="26"/>
  <c r="G55" i="26" s="1"/>
  <c r="H45" i="26"/>
  <c r="H48" i="26" s="1"/>
  <c r="N45" i="26"/>
  <c r="N48" i="26" s="1"/>
  <c r="L38" i="26"/>
  <c r="J45" i="26"/>
  <c r="J48" i="26" s="1"/>
  <c r="J38" i="26"/>
  <c r="I38" i="26"/>
  <c r="I52" i="26"/>
  <c r="H52" i="26"/>
  <c r="H55" i="26" s="1"/>
  <c r="E52" i="26"/>
  <c r="J52" i="26"/>
  <c r="J55" i="26" s="1"/>
  <c r="K38" i="26"/>
  <c r="L45" i="26"/>
  <c r="L48" i="26" s="1"/>
  <c r="G45" i="26"/>
  <c r="G48" i="26" s="1"/>
  <c r="F52" i="26"/>
  <c r="F55" i="26" s="1"/>
  <c r="O38" i="26"/>
  <c r="F116" i="26"/>
  <c r="J116" i="26"/>
  <c r="N116" i="26"/>
  <c r="H116" i="26"/>
  <c r="P116" i="26"/>
  <c r="G116" i="26"/>
  <c r="O116" i="26"/>
  <c r="I116" i="26"/>
  <c r="M116" i="26"/>
  <c r="E116" i="26"/>
  <c r="L116" i="26"/>
  <c r="K116" i="26"/>
  <c r="P258" i="26"/>
  <c r="P261" i="26" s="1"/>
  <c r="M258" i="26"/>
  <c r="M261" i="26" s="1"/>
  <c r="H258" i="26"/>
  <c r="H261" i="26" s="1"/>
  <c r="G258" i="26"/>
  <c r="G261" i="26" s="1"/>
  <c r="E258" i="26"/>
  <c r="E261" i="26" s="1"/>
  <c r="E262" i="26" s="1"/>
  <c r="F258" i="26"/>
  <c r="F261" i="26" s="1"/>
  <c r="I258" i="26"/>
  <c r="I261" i="26" s="1"/>
  <c r="L258" i="26"/>
  <c r="L261" i="26" s="1"/>
  <c r="K258" i="26"/>
  <c r="K261" i="26" s="1"/>
  <c r="J258" i="26"/>
  <c r="J261" i="26" s="1"/>
  <c r="O258" i="26"/>
  <c r="O261" i="26" s="1"/>
  <c r="N258" i="26"/>
  <c r="N261" i="26" s="1"/>
  <c r="H306" i="26"/>
  <c r="H309" i="26" s="1"/>
  <c r="L306" i="26"/>
  <c r="L309" i="26" s="1"/>
  <c r="P306" i="26"/>
  <c r="P309" i="26" s="1"/>
  <c r="J306" i="26"/>
  <c r="J309" i="26" s="1"/>
  <c r="M306" i="26"/>
  <c r="M309" i="26" s="1"/>
  <c r="G306" i="26"/>
  <c r="G309" i="26" s="1"/>
  <c r="K306" i="26"/>
  <c r="K309" i="26" s="1"/>
  <c r="O306" i="26"/>
  <c r="O309" i="26" s="1"/>
  <c r="F306" i="26"/>
  <c r="F309" i="26" s="1"/>
  <c r="N306" i="26"/>
  <c r="N309" i="26" s="1"/>
  <c r="I306" i="26"/>
  <c r="I309" i="26" s="1"/>
  <c r="E306" i="26"/>
  <c r="E309" i="26" s="1"/>
  <c r="E310" i="26" s="1"/>
  <c r="H92" i="26"/>
  <c r="L92" i="26"/>
  <c r="P92" i="26"/>
  <c r="F92" i="26"/>
  <c r="N92" i="26"/>
  <c r="I92" i="26"/>
  <c r="E92" i="26"/>
  <c r="G92" i="26"/>
  <c r="K92" i="26"/>
  <c r="O92" i="26"/>
  <c r="J92" i="26"/>
  <c r="M92" i="26"/>
  <c r="H209" i="26"/>
  <c r="H212" i="26" s="1"/>
  <c r="L209" i="26"/>
  <c r="L212" i="26" s="1"/>
  <c r="P209" i="26"/>
  <c r="P212" i="26" s="1"/>
  <c r="F209" i="26"/>
  <c r="F212" i="26" s="1"/>
  <c r="J209" i="26"/>
  <c r="J212" i="26" s="1"/>
  <c r="N209" i="26"/>
  <c r="N212" i="26" s="1"/>
  <c r="I209" i="26"/>
  <c r="I212" i="26" s="1"/>
  <c r="E209" i="26"/>
  <c r="G209" i="26"/>
  <c r="G212" i="26" s="1"/>
  <c r="K209" i="26"/>
  <c r="O209" i="26"/>
  <c r="O212" i="26" s="1"/>
  <c r="M209" i="26"/>
  <c r="M212" i="26" s="1"/>
  <c r="H282" i="26"/>
  <c r="H285" i="26" s="1"/>
  <c r="L282" i="26"/>
  <c r="L285" i="26" s="1"/>
  <c r="P282" i="26"/>
  <c r="P285" i="26" s="1"/>
  <c r="F282" i="26"/>
  <c r="F285" i="26" s="1"/>
  <c r="N282" i="26"/>
  <c r="N285" i="26" s="1"/>
  <c r="I282" i="26"/>
  <c r="I285" i="26" s="1"/>
  <c r="E282" i="26"/>
  <c r="G282" i="26"/>
  <c r="G285" i="26" s="1"/>
  <c r="K282" i="26"/>
  <c r="K285" i="26" s="1"/>
  <c r="O282" i="26"/>
  <c r="O285" i="26" s="1"/>
  <c r="J282" i="26"/>
  <c r="J285" i="26" s="1"/>
  <c r="M282" i="26"/>
  <c r="M285" i="26" s="1"/>
  <c r="F124" i="26"/>
  <c r="J124" i="26"/>
  <c r="N124" i="26"/>
  <c r="N127" i="26" s="1"/>
  <c r="L124" i="26"/>
  <c r="L127" i="26" s="1"/>
  <c r="K124" i="26"/>
  <c r="I124" i="26"/>
  <c r="I127" i="26" s="1"/>
  <c r="M124" i="26"/>
  <c r="M127" i="26" s="1"/>
  <c r="E124" i="26"/>
  <c r="H124" i="26"/>
  <c r="H127" i="26" s="1"/>
  <c r="P124" i="26"/>
  <c r="P127" i="26" s="1"/>
  <c r="G124" i="26"/>
  <c r="G127" i="26" s="1"/>
  <c r="O124" i="26"/>
  <c r="O127" i="26" s="1"/>
  <c r="N22" i="26"/>
  <c r="G22" i="26"/>
  <c r="O22" i="26"/>
  <c r="P22" i="26"/>
  <c r="E22" i="26"/>
  <c r="K22" i="26"/>
  <c r="K25" i="26" s="1"/>
  <c r="H22" i="26"/>
  <c r="F22" i="26"/>
  <c r="M22" i="26"/>
  <c r="I22" i="26"/>
  <c r="L22" i="26"/>
  <c r="J22" i="26"/>
  <c r="J25" i="26" s="1"/>
  <c r="H100" i="26"/>
  <c r="L100" i="26"/>
  <c r="P100" i="26"/>
  <c r="J100" i="26"/>
  <c r="I100" i="26"/>
  <c r="G100" i="26"/>
  <c r="K100" i="26"/>
  <c r="O100" i="26"/>
  <c r="F100" i="26"/>
  <c r="N100" i="26"/>
  <c r="M100" i="26"/>
  <c r="E100" i="26"/>
  <c r="H220" i="26"/>
  <c r="L220" i="26"/>
  <c r="P220" i="26"/>
  <c r="F220" i="26"/>
  <c r="N220" i="26"/>
  <c r="I220" i="26"/>
  <c r="G220" i="26"/>
  <c r="K220" i="26"/>
  <c r="O220" i="26"/>
  <c r="J220" i="26"/>
  <c r="M220" i="26"/>
  <c r="E220" i="26"/>
  <c r="H290" i="26"/>
  <c r="H293" i="26" s="1"/>
  <c r="L290" i="26"/>
  <c r="L293" i="26" s="1"/>
  <c r="P290" i="26"/>
  <c r="P293" i="26" s="1"/>
  <c r="F290" i="26"/>
  <c r="F293" i="26" s="1"/>
  <c r="J290" i="26"/>
  <c r="J293" i="26" s="1"/>
  <c r="M290" i="26"/>
  <c r="M293" i="26" s="1"/>
  <c r="G290" i="26"/>
  <c r="G293" i="26" s="1"/>
  <c r="K290" i="26"/>
  <c r="K293" i="26" s="1"/>
  <c r="O290" i="26"/>
  <c r="O293" i="26" s="1"/>
  <c r="N290" i="26"/>
  <c r="N293" i="26" s="1"/>
  <c r="I290" i="26"/>
  <c r="I293" i="26" s="1"/>
  <c r="E290" i="26"/>
  <c r="E293" i="26" s="1"/>
  <c r="E294" i="26" s="1"/>
  <c r="J60" i="26"/>
  <c r="I60" i="26"/>
  <c r="H60" i="26"/>
  <c r="K60" i="26"/>
  <c r="L60" i="26"/>
  <c r="N60" i="26"/>
  <c r="P60" i="26"/>
  <c r="O60" i="26"/>
  <c r="M60" i="26"/>
  <c r="F60" i="26"/>
  <c r="E60" i="26"/>
  <c r="G60" i="26"/>
  <c r="I156" i="26"/>
  <c r="I159" i="26" s="1"/>
  <c r="L149" i="26"/>
  <c r="L156" i="26"/>
  <c r="L159" i="26" s="1"/>
  <c r="M149" i="26"/>
  <c r="K156" i="26"/>
  <c r="K159" i="26" s="1"/>
  <c r="E149" i="26"/>
  <c r="O149" i="26"/>
  <c r="G156" i="26"/>
  <c r="G159" i="26" s="1"/>
  <c r="J149" i="26"/>
  <c r="I149" i="26"/>
  <c r="F156" i="26"/>
  <c r="F159" i="26" s="1"/>
  <c r="E156" i="26"/>
  <c r="H156" i="26"/>
  <c r="H159" i="26" s="1"/>
  <c r="O156" i="26"/>
  <c r="O159" i="26" s="1"/>
  <c r="N156" i="26"/>
  <c r="N159" i="26" s="1"/>
  <c r="K149" i="26"/>
  <c r="F149" i="26"/>
  <c r="J156" i="26"/>
  <c r="J159" i="26" s="1"/>
  <c r="H149" i="26"/>
  <c r="P149" i="26"/>
  <c r="N149" i="26"/>
  <c r="M156" i="26"/>
  <c r="M159" i="26" s="1"/>
  <c r="G149" i="26"/>
  <c r="L234" i="26"/>
  <c r="I234" i="26"/>
  <c r="E234" i="26"/>
  <c r="M234" i="26"/>
  <c r="H234" i="26"/>
  <c r="K234" i="26"/>
  <c r="J234" i="26"/>
  <c r="G234" i="26"/>
  <c r="F234" i="26"/>
  <c r="O234" i="26"/>
  <c r="N234" i="26"/>
  <c r="P234" i="26"/>
  <c r="O194" i="26"/>
  <c r="I194" i="26"/>
  <c r="L194" i="26"/>
  <c r="G204" i="26"/>
  <c r="M204" i="26"/>
  <c r="F194" i="26"/>
  <c r="P194" i="26"/>
  <c r="P186" i="26"/>
  <c r="M186" i="26"/>
  <c r="H186" i="26"/>
  <c r="G186" i="26"/>
  <c r="L186" i="26"/>
  <c r="J186" i="26"/>
  <c r="F186" i="26"/>
  <c r="I186" i="26"/>
  <c r="O186" i="26"/>
  <c r="E186" i="26"/>
  <c r="K186" i="26"/>
  <c r="N186" i="26"/>
  <c r="H274" i="26"/>
  <c r="H277" i="26" s="1"/>
  <c r="L274" i="26"/>
  <c r="L277" i="26" s="1"/>
  <c r="P274" i="26"/>
  <c r="P277" i="26" s="1"/>
  <c r="J274" i="26"/>
  <c r="J277" i="26" s="1"/>
  <c r="M274" i="26"/>
  <c r="M277" i="26" s="1"/>
  <c r="G274" i="26"/>
  <c r="G277" i="26" s="1"/>
  <c r="K274" i="26"/>
  <c r="K277" i="26" s="1"/>
  <c r="O274" i="26"/>
  <c r="O277" i="26" s="1"/>
  <c r="F274" i="26"/>
  <c r="F277" i="26" s="1"/>
  <c r="N274" i="26"/>
  <c r="N277" i="26" s="1"/>
  <c r="I274" i="26"/>
  <c r="I277" i="26" s="1"/>
  <c r="E274" i="26"/>
  <c r="E277" i="26" s="1"/>
  <c r="E278" i="26" s="1"/>
  <c r="H76" i="26"/>
  <c r="L76" i="26"/>
  <c r="P76" i="26"/>
  <c r="F76" i="26"/>
  <c r="J76" i="26"/>
  <c r="M76" i="26"/>
  <c r="G76" i="26"/>
  <c r="K76" i="26"/>
  <c r="O76" i="26"/>
  <c r="N76" i="26"/>
  <c r="I76" i="26"/>
  <c r="E76" i="26"/>
  <c r="L250" i="26"/>
  <c r="I250" i="26"/>
  <c r="E250" i="26"/>
  <c r="K250" i="26"/>
  <c r="F250" i="26"/>
  <c r="O250" i="26"/>
  <c r="M250" i="26"/>
  <c r="N250" i="26"/>
  <c r="H250" i="26"/>
  <c r="J250" i="26"/>
  <c r="G250" i="26"/>
  <c r="P250" i="26"/>
  <c r="P253" i="26" s="1"/>
  <c r="H337" i="26"/>
  <c r="H340" i="26" s="1"/>
  <c r="L337" i="26"/>
  <c r="L340" i="26" s="1"/>
  <c r="P337" i="26"/>
  <c r="P340" i="26" s="1"/>
  <c r="G330" i="26"/>
  <c r="G333" i="26" s="1"/>
  <c r="K330" i="26"/>
  <c r="K333" i="26" s="1"/>
  <c r="O330" i="26"/>
  <c r="O333" i="26" s="1"/>
  <c r="H322" i="26"/>
  <c r="H325" i="26" s="1"/>
  <c r="L322" i="26"/>
  <c r="L325" i="26" s="1"/>
  <c r="P322" i="26"/>
  <c r="P325" i="26" s="1"/>
  <c r="H314" i="26"/>
  <c r="H317" i="26" s="1"/>
  <c r="L314" i="26"/>
  <c r="L317" i="26" s="1"/>
  <c r="P314" i="26"/>
  <c r="P317" i="26" s="1"/>
  <c r="F337" i="26"/>
  <c r="F340" i="26" s="1"/>
  <c r="J337" i="26"/>
  <c r="J340" i="26" s="1"/>
  <c r="E330" i="26"/>
  <c r="E333" i="26" s="1"/>
  <c r="E334" i="26" s="1"/>
  <c r="I330" i="26"/>
  <c r="I333" i="26" s="1"/>
  <c r="M330" i="26"/>
  <c r="M333" i="26" s="1"/>
  <c r="F322" i="26"/>
  <c r="F325" i="26" s="1"/>
  <c r="J322" i="26"/>
  <c r="J325" i="26" s="1"/>
  <c r="N322" i="26"/>
  <c r="N325" i="26" s="1"/>
  <c r="F314" i="26"/>
  <c r="F317" i="26" s="1"/>
  <c r="N314" i="26"/>
  <c r="N317" i="26" s="1"/>
  <c r="M337" i="26"/>
  <c r="M340" i="26" s="1"/>
  <c r="H330" i="26"/>
  <c r="H333" i="26" s="1"/>
  <c r="P330" i="26"/>
  <c r="P333" i="26" s="1"/>
  <c r="M322" i="26"/>
  <c r="M325" i="26" s="1"/>
  <c r="I314" i="26"/>
  <c r="I317" i="26" s="1"/>
  <c r="E314" i="26"/>
  <c r="E317" i="26" s="1"/>
  <c r="E318" i="26" s="1"/>
  <c r="G337" i="26"/>
  <c r="G340" i="26" s="1"/>
  <c r="K337" i="26"/>
  <c r="K340" i="26" s="1"/>
  <c r="O337" i="26"/>
  <c r="O340" i="26" s="1"/>
  <c r="F330" i="26"/>
  <c r="F333" i="26" s="1"/>
  <c r="J330" i="26"/>
  <c r="J333" i="26" s="1"/>
  <c r="N330" i="26"/>
  <c r="N333" i="26" s="1"/>
  <c r="G322" i="26"/>
  <c r="G325" i="26" s="1"/>
  <c r="K322" i="26"/>
  <c r="K325" i="26" s="1"/>
  <c r="O322" i="26"/>
  <c r="O325" i="26" s="1"/>
  <c r="G314" i="26"/>
  <c r="G317" i="26" s="1"/>
  <c r="K314" i="26"/>
  <c r="K317" i="26" s="1"/>
  <c r="O314" i="26"/>
  <c r="O317" i="26" s="1"/>
  <c r="N337" i="26"/>
  <c r="N340" i="26" s="1"/>
  <c r="J314" i="26"/>
  <c r="J317" i="26" s="1"/>
  <c r="I337" i="26"/>
  <c r="I340" i="26" s="1"/>
  <c r="E337" i="26"/>
  <c r="L330" i="26"/>
  <c r="L333" i="26" s="1"/>
  <c r="I322" i="26"/>
  <c r="I325" i="26" s="1"/>
  <c r="E322" i="26"/>
  <c r="E325" i="26" s="1"/>
  <c r="E326" i="26" s="1"/>
  <c r="M314" i="26"/>
  <c r="M317" i="26" s="1"/>
  <c r="J194" i="26"/>
  <c r="I55" i="26"/>
  <c r="P159" i="26"/>
  <c r="M230" i="26"/>
  <c r="I230" i="26"/>
  <c r="N230" i="26"/>
  <c r="J230" i="26"/>
  <c r="F230" i="26"/>
  <c r="O230" i="26"/>
  <c r="K230" i="26"/>
  <c r="G230" i="26"/>
  <c r="P230" i="26"/>
  <c r="L230" i="26"/>
  <c r="H230" i="26"/>
  <c r="E204" i="26"/>
  <c r="E205" i="26" s="1"/>
  <c r="R201" i="26"/>
  <c r="D174" i="27" s="1"/>
  <c r="K133" i="26" l="1"/>
  <c r="H133" i="26"/>
  <c r="F133" i="26"/>
  <c r="K127" i="26"/>
  <c r="P133" i="26"/>
  <c r="I133" i="26"/>
  <c r="J133" i="26"/>
  <c r="F127" i="26"/>
  <c r="J127" i="26"/>
  <c r="G133" i="26"/>
  <c r="M133" i="26"/>
  <c r="N133" i="26"/>
  <c r="R156" i="26"/>
  <c r="D118" i="27" s="1"/>
  <c r="D121" i="27" s="1"/>
  <c r="O133" i="26"/>
  <c r="E133" i="26"/>
  <c r="L133" i="26"/>
  <c r="E48" i="26"/>
  <c r="E49" i="26" s="1"/>
  <c r="R45" i="26"/>
  <c r="D35" i="27" s="1"/>
  <c r="E159" i="26"/>
  <c r="E160" i="26" s="1"/>
  <c r="E55" i="26"/>
  <c r="E56" i="26" s="1"/>
  <c r="R52" i="26"/>
  <c r="D34" i="27" s="1"/>
  <c r="E230" i="26"/>
  <c r="E231" i="26" s="1"/>
  <c r="D212" i="27"/>
  <c r="D214" i="27" s="1"/>
  <c r="E340" i="26"/>
  <c r="E341" i="26" s="1"/>
  <c r="R337" i="26"/>
  <c r="D288" i="27" s="1"/>
  <c r="F203" i="26"/>
  <c r="E206" i="26"/>
  <c r="D178" i="27"/>
  <c r="D185" i="27" s="1"/>
  <c r="D177" i="27"/>
  <c r="D176" i="27"/>
  <c r="E301" i="26"/>
  <c r="E302" i="26" s="1"/>
  <c r="R298" i="26"/>
  <c r="F268" i="26"/>
  <c r="E271" i="26"/>
  <c r="F316" i="26"/>
  <c r="E319" i="26"/>
  <c r="F292" i="26"/>
  <c r="E295" i="26"/>
  <c r="F276" i="26"/>
  <c r="E279" i="26"/>
  <c r="E285" i="26"/>
  <c r="E286" i="26" s="1"/>
  <c r="R282" i="26"/>
  <c r="F308" i="26"/>
  <c r="E311" i="26"/>
  <c r="F260" i="26"/>
  <c r="E263" i="26"/>
  <c r="F324" i="26"/>
  <c r="E327" i="26"/>
  <c r="F332" i="26"/>
  <c r="E335" i="26"/>
  <c r="R266" i="26"/>
  <c r="R22" i="26"/>
  <c r="R314" i="26"/>
  <c r="R92" i="26"/>
  <c r="R76" i="26"/>
  <c r="R14" i="26"/>
  <c r="R322" i="26"/>
  <c r="D274" i="27" s="1"/>
  <c r="R290" i="26"/>
  <c r="R141" i="26"/>
  <c r="D51" i="27" s="1"/>
  <c r="R100" i="26"/>
  <c r="R306" i="26"/>
  <c r="R274" i="26"/>
  <c r="R258" i="26"/>
  <c r="D304" i="27" s="1"/>
  <c r="D306" i="27" s="1"/>
  <c r="R84" i="26"/>
  <c r="R330" i="26"/>
  <c r="D281" i="27" s="1"/>
  <c r="R209" i="26"/>
  <c r="D188" i="27" s="1"/>
  <c r="R108" i="26"/>
  <c r="R124" i="26"/>
  <c r="R116" i="26"/>
  <c r="K212" i="26"/>
  <c r="E212" i="26"/>
  <c r="E213" i="26" s="1"/>
  <c r="E127" i="26"/>
  <c r="E128" i="26" s="1"/>
  <c r="O253" i="26"/>
  <c r="K253" i="26"/>
  <c r="G253" i="26"/>
  <c r="N253" i="26"/>
  <c r="J253" i="26"/>
  <c r="F253" i="26"/>
  <c r="E253" i="26"/>
  <c r="E254" i="26" s="1"/>
  <c r="M253" i="26"/>
  <c r="I253" i="26"/>
  <c r="L253" i="26"/>
  <c r="H253" i="26"/>
  <c r="D290" i="27" l="1"/>
  <c r="D291" i="27"/>
  <c r="D295" i="27" s="1"/>
  <c r="D218" i="27"/>
  <c r="D217" i="27"/>
  <c r="D215" i="27"/>
  <c r="D219" i="27" s="1"/>
  <c r="D283" i="27"/>
  <c r="D284" i="27"/>
  <c r="R133" i="26"/>
  <c r="D42" i="27" s="1"/>
  <c r="D32" i="27"/>
  <c r="D122" i="27"/>
  <c r="E57" i="26"/>
  <c r="F54" i="26"/>
  <c r="F47" i="26"/>
  <c r="E50" i="26"/>
  <c r="F158" i="26"/>
  <c r="E161" i="26"/>
  <c r="F229" i="26"/>
  <c r="E232" i="26"/>
  <c r="E342" i="26"/>
  <c r="F339" i="26"/>
  <c r="C44" i="52"/>
  <c r="P44" i="52" s="1"/>
  <c r="D183" i="27"/>
  <c r="D184" i="27"/>
  <c r="D181" i="27"/>
  <c r="D180" i="27"/>
  <c r="C31" i="52" s="1"/>
  <c r="F205" i="26"/>
  <c r="G203" i="26" s="1"/>
  <c r="F252" i="26"/>
  <c r="E255" i="26"/>
  <c r="F326" i="26"/>
  <c r="G324" i="26" s="1"/>
  <c r="F262" i="26"/>
  <c r="G260" i="26" s="1"/>
  <c r="F284" i="26"/>
  <c r="E287" i="26"/>
  <c r="F294" i="26"/>
  <c r="G292" i="26" s="1"/>
  <c r="F270" i="26"/>
  <c r="G268" i="26" s="1"/>
  <c r="F334" i="26"/>
  <c r="G332" i="26" s="1"/>
  <c r="F310" i="26"/>
  <c r="G308" i="26" s="1"/>
  <c r="F278" i="26"/>
  <c r="G276" i="26" s="1"/>
  <c r="F318" i="26"/>
  <c r="G316" i="26" s="1"/>
  <c r="F300" i="26"/>
  <c r="E303" i="26"/>
  <c r="D285" i="27"/>
  <c r="D277" i="27"/>
  <c r="D278" i="27"/>
  <c r="D276" i="27"/>
  <c r="R38" i="26"/>
  <c r="R68" i="26"/>
  <c r="D39" i="27" s="1"/>
  <c r="R250" i="26"/>
  <c r="F211" i="26"/>
  <c r="E214" i="26"/>
  <c r="D192" i="27"/>
  <c r="D199" i="27" s="1"/>
  <c r="D190" i="27"/>
  <c r="D191" i="27"/>
  <c r="D94" i="27"/>
  <c r="F126" i="26"/>
  <c r="E129" i="26"/>
  <c r="D293" i="27" l="1"/>
  <c r="D294" i="27"/>
  <c r="C51" i="52"/>
  <c r="C53" i="52"/>
  <c r="O53" i="52" s="1"/>
  <c r="C29" i="52"/>
  <c r="F160" i="26"/>
  <c r="G158" i="26" s="1"/>
  <c r="F56" i="26"/>
  <c r="G54" i="26" s="1"/>
  <c r="F49" i="26"/>
  <c r="G47" i="26" s="1"/>
  <c r="F231" i="26"/>
  <c r="G229" i="26" s="1"/>
  <c r="F341" i="26"/>
  <c r="G339" i="26" s="1"/>
  <c r="G44" i="52"/>
  <c r="N44" i="52"/>
  <c r="O44" i="52"/>
  <c r="G205" i="26"/>
  <c r="H203" i="26" s="1"/>
  <c r="G51" i="52"/>
  <c r="F319" i="26"/>
  <c r="F206" i="26"/>
  <c r="F335" i="26"/>
  <c r="G278" i="26"/>
  <c r="H276" i="26" s="1"/>
  <c r="G294" i="26"/>
  <c r="H292" i="26" s="1"/>
  <c r="G262" i="26"/>
  <c r="H260" i="26" s="1"/>
  <c r="G326" i="26"/>
  <c r="H324" i="26" s="1"/>
  <c r="F254" i="26"/>
  <c r="G252" i="26" s="1"/>
  <c r="G318" i="26"/>
  <c r="H316" i="26" s="1"/>
  <c r="G334" i="26"/>
  <c r="H332" i="26" s="1"/>
  <c r="F311" i="26"/>
  <c r="F295" i="26"/>
  <c r="F263" i="26"/>
  <c r="F327" i="26"/>
  <c r="G310" i="26"/>
  <c r="H308" i="26" s="1"/>
  <c r="G270" i="26"/>
  <c r="H268" i="26" s="1"/>
  <c r="F286" i="26"/>
  <c r="G284" i="26" s="1"/>
  <c r="F302" i="26"/>
  <c r="G300" i="26" s="1"/>
  <c r="F279" i="26"/>
  <c r="F271" i="26"/>
  <c r="D98" i="27"/>
  <c r="C279" i="27"/>
  <c r="D197" i="27"/>
  <c r="D198" i="27"/>
  <c r="F213" i="26"/>
  <c r="G211" i="26" s="1"/>
  <c r="D194" i="27"/>
  <c r="D195" i="27"/>
  <c r="D97" i="27"/>
  <c r="D96" i="27"/>
  <c r="F128" i="26"/>
  <c r="G126" i="26" s="1"/>
  <c r="P29" i="52" l="1"/>
  <c r="N29" i="52"/>
  <c r="P51" i="52"/>
  <c r="O51" i="52"/>
  <c r="O29" i="52"/>
  <c r="N51" i="52"/>
  <c r="G29" i="52"/>
  <c r="F161" i="26"/>
  <c r="F57" i="26"/>
  <c r="G160" i="26"/>
  <c r="H158" i="26" s="1"/>
  <c r="G49" i="26"/>
  <c r="H47" i="26" s="1"/>
  <c r="F50" i="26"/>
  <c r="G56" i="26"/>
  <c r="H54" i="26" s="1"/>
  <c r="F232" i="26"/>
  <c r="G231" i="26"/>
  <c r="H229" i="26" s="1"/>
  <c r="G341" i="26"/>
  <c r="H339" i="26" s="1"/>
  <c r="F342" i="26"/>
  <c r="G206" i="26"/>
  <c r="H205" i="26"/>
  <c r="I203" i="26" s="1"/>
  <c r="H270" i="26"/>
  <c r="I268" i="26" s="1"/>
  <c r="H310" i="26"/>
  <c r="I308" i="26" s="1"/>
  <c r="H334" i="26"/>
  <c r="I332" i="26" s="1"/>
  <c r="G254" i="26"/>
  <c r="H252" i="26" s="1"/>
  <c r="H326" i="26"/>
  <c r="I324" i="26" s="1"/>
  <c r="H294" i="26"/>
  <c r="I292" i="26" s="1"/>
  <c r="H278" i="26"/>
  <c r="I276" i="26" s="1"/>
  <c r="G271" i="26"/>
  <c r="G311" i="26"/>
  <c r="G335" i="26"/>
  <c r="F255" i="26"/>
  <c r="G327" i="26"/>
  <c r="G295" i="26"/>
  <c r="G279" i="26"/>
  <c r="G302" i="26"/>
  <c r="H300" i="26" s="1"/>
  <c r="G286" i="26"/>
  <c r="H284" i="26" s="1"/>
  <c r="H318" i="26"/>
  <c r="I316" i="26" s="1"/>
  <c r="H262" i="26"/>
  <c r="I260" i="26" s="1"/>
  <c r="F303" i="26"/>
  <c r="F287" i="26"/>
  <c r="G319" i="26"/>
  <c r="G263" i="26"/>
  <c r="F214" i="26"/>
  <c r="C286" i="27"/>
  <c r="G213" i="26"/>
  <c r="H211" i="26" s="1"/>
  <c r="G128" i="26"/>
  <c r="H126" i="26" s="1"/>
  <c r="F129" i="26"/>
  <c r="G161" i="26" l="1"/>
  <c r="G50" i="26"/>
  <c r="H160" i="26"/>
  <c r="I158" i="26" s="1"/>
  <c r="H56" i="26"/>
  <c r="I54" i="26" s="1"/>
  <c r="H49" i="26"/>
  <c r="I47" i="26" s="1"/>
  <c r="G57" i="26"/>
  <c r="G342" i="26"/>
  <c r="H231" i="26"/>
  <c r="I229" i="26" s="1"/>
  <c r="G232" i="26"/>
  <c r="H341" i="26"/>
  <c r="I339" i="26" s="1"/>
  <c r="H263" i="26"/>
  <c r="H206" i="26"/>
  <c r="I205" i="26"/>
  <c r="J203" i="26" s="1"/>
  <c r="G303" i="26"/>
  <c r="H319" i="26"/>
  <c r="G287" i="26"/>
  <c r="G255" i="26"/>
  <c r="I278" i="26"/>
  <c r="J276" i="26" s="1"/>
  <c r="I326" i="26"/>
  <c r="J324" i="26" s="1"/>
  <c r="J326" i="26" s="1"/>
  <c r="I310" i="26"/>
  <c r="J308" i="26" s="1"/>
  <c r="J310" i="26" s="1"/>
  <c r="I262" i="26"/>
  <c r="J260" i="26" s="1"/>
  <c r="J262" i="26" s="1"/>
  <c r="I318" i="26"/>
  <c r="J316" i="26" s="1"/>
  <c r="J318" i="26" s="1"/>
  <c r="H302" i="26"/>
  <c r="I300" i="26" s="1"/>
  <c r="H279" i="26"/>
  <c r="H327" i="26"/>
  <c r="H311" i="26"/>
  <c r="I294" i="26"/>
  <c r="J292" i="26" s="1"/>
  <c r="J294" i="26" s="1"/>
  <c r="I334" i="26"/>
  <c r="J332" i="26" s="1"/>
  <c r="J334" i="26" s="1"/>
  <c r="I270" i="26"/>
  <c r="J268" i="26" s="1"/>
  <c r="J270" i="26" s="1"/>
  <c r="H286" i="26"/>
  <c r="I284" i="26" s="1"/>
  <c r="H254" i="26"/>
  <c r="I252" i="26" s="1"/>
  <c r="H295" i="26"/>
  <c r="H335" i="26"/>
  <c r="H271" i="26"/>
  <c r="G214" i="26"/>
  <c r="H213" i="26"/>
  <c r="I211" i="26" s="1"/>
  <c r="H128" i="26"/>
  <c r="I126" i="26" s="1"/>
  <c r="G129" i="26"/>
  <c r="R234" i="26"/>
  <c r="I49" i="26" l="1"/>
  <c r="J47" i="26" s="1"/>
  <c r="H50" i="26"/>
  <c r="H57" i="26"/>
  <c r="I160" i="26"/>
  <c r="J158" i="26" s="1"/>
  <c r="I56" i="26"/>
  <c r="J54" i="26" s="1"/>
  <c r="H161" i="26"/>
  <c r="H342" i="26"/>
  <c r="H232" i="26"/>
  <c r="I341" i="26"/>
  <c r="J339" i="26" s="1"/>
  <c r="I231" i="26"/>
  <c r="J229" i="26" s="1"/>
  <c r="J295" i="26"/>
  <c r="K292" i="26"/>
  <c r="J327" i="26"/>
  <c r="K324" i="26"/>
  <c r="J335" i="26"/>
  <c r="K332" i="26"/>
  <c r="J263" i="26"/>
  <c r="K260" i="26"/>
  <c r="J271" i="26"/>
  <c r="K268" i="26"/>
  <c r="J319" i="26"/>
  <c r="K316" i="26"/>
  <c r="J311" i="26"/>
  <c r="K308" i="26"/>
  <c r="I206" i="26"/>
  <c r="J205" i="26"/>
  <c r="I254" i="26"/>
  <c r="J252" i="26" s="1"/>
  <c r="J254" i="26" s="1"/>
  <c r="I279" i="26"/>
  <c r="I286" i="26"/>
  <c r="J284" i="26" s="1"/>
  <c r="J286" i="26" s="1"/>
  <c r="J278" i="26"/>
  <c r="H255" i="26"/>
  <c r="H287" i="26"/>
  <c r="I335" i="26"/>
  <c r="I263" i="26"/>
  <c r="I302" i="26"/>
  <c r="J300" i="26" s="1"/>
  <c r="J302" i="26" s="1"/>
  <c r="I271" i="26"/>
  <c r="I295" i="26"/>
  <c r="H303" i="26"/>
  <c r="I319" i="26"/>
  <c r="I311" i="26"/>
  <c r="I327" i="26"/>
  <c r="H214" i="26"/>
  <c r="I213" i="26"/>
  <c r="J211" i="26" s="1"/>
  <c r="H129" i="26"/>
  <c r="I128" i="26"/>
  <c r="J126" i="26" s="1"/>
  <c r="F136" i="26"/>
  <c r="G136" i="26"/>
  <c r="H136" i="26"/>
  <c r="J136" i="26"/>
  <c r="K136" i="26"/>
  <c r="L136" i="26"/>
  <c r="N136" i="26"/>
  <c r="O136" i="26"/>
  <c r="P136" i="26"/>
  <c r="F95" i="26"/>
  <c r="G95" i="26"/>
  <c r="H95" i="26"/>
  <c r="J95" i="26"/>
  <c r="K95" i="26"/>
  <c r="L95" i="26"/>
  <c r="N95" i="26"/>
  <c r="O95" i="26"/>
  <c r="P95" i="26"/>
  <c r="F119" i="26"/>
  <c r="G119" i="26"/>
  <c r="H119" i="26"/>
  <c r="J119" i="26"/>
  <c r="K119" i="26"/>
  <c r="L119" i="26"/>
  <c r="N119" i="26"/>
  <c r="O119" i="26"/>
  <c r="P119" i="26"/>
  <c r="F144" i="26"/>
  <c r="G144" i="26"/>
  <c r="H144" i="26"/>
  <c r="J144" i="26"/>
  <c r="K144" i="26"/>
  <c r="L144" i="26"/>
  <c r="O144" i="26"/>
  <c r="P144" i="26"/>
  <c r="F79" i="26"/>
  <c r="G79" i="26"/>
  <c r="H79" i="26"/>
  <c r="J79" i="26"/>
  <c r="K79" i="26"/>
  <c r="L79" i="26"/>
  <c r="N79" i="26"/>
  <c r="O79" i="26"/>
  <c r="P79" i="26"/>
  <c r="F87" i="26"/>
  <c r="G87" i="26"/>
  <c r="H87" i="26"/>
  <c r="J87" i="26"/>
  <c r="K87" i="26"/>
  <c r="L87" i="26"/>
  <c r="N87" i="26"/>
  <c r="O87" i="26"/>
  <c r="P87" i="26"/>
  <c r="F103" i="26"/>
  <c r="G103" i="26"/>
  <c r="H103" i="26"/>
  <c r="J103" i="26"/>
  <c r="K103" i="26"/>
  <c r="L103" i="26"/>
  <c r="N103" i="26"/>
  <c r="O103" i="26"/>
  <c r="P103" i="26"/>
  <c r="F111" i="26"/>
  <c r="G111" i="26"/>
  <c r="H111" i="26"/>
  <c r="J111" i="26"/>
  <c r="K111" i="26"/>
  <c r="L111" i="26"/>
  <c r="N111" i="26"/>
  <c r="O111" i="26"/>
  <c r="P111" i="26"/>
  <c r="F71" i="26"/>
  <c r="G71" i="26"/>
  <c r="I71" i="26"/>
  <c r="K71" i="26"/>
  <c r="L71" i="26"/>
  <c r="M71" i="26"/>
  <c r="N71" i="26"/>
  <c r="O71" i="26"/>
  <c r="P71" i="26"/>
  <c r="O41" i="26"/>
  <c r="O237" i="26"/>
  <c r="O245" i="26"/>
  <c r="O25" i="26"/>
  <c r="P41" i="26"/>
  <c r="P25" i="26"/>
  <c r="P17" i="26"/>
  <c r="G41" i="26"/>
  <c r="G25" i="26"/>
  <c r="G17" i="26"/>
  <c r="H41" i="26"/>
  <c r="H237" i="26"/>
  <c r="I41" i="26"/>
  <c r="I237" i="26"/>
  <c r="I25" i="26"/>
  <c r="I17" i="26"/>
  <c r="L41" i="26"/>
  <c r="L237" i="26"/>
  <c r="L245" i="26"/>
  <c r="L25" i="26"/>
  <c r="L17" i="26"/>
  <c r="M41" i="26"/>
  <c r="M245" i="26"/>
  <c r="M25" i="26"/>
  <c r="N41" i="26"/>
  <c r="N237" i="26"/>
  <c r="N245" i="26"/>
  <c r="N223" i="26"/>
  <c r="N25" i="26"/>
  <c r="N17" i="26"/>
  <c r="K41" i="26"/>
  <c r="K237" i="26"/>
  <c r="K245" i="26"/>
  <c r="J41" i="26"/>
  <c r="J245" i="26"/>
  <c r="J17" i="26"/>
  <c r="E41" i="26"/>
  <c r="E42" i="26" s="1"/>
  <c r="E237" i="26"/>
  <c r="E238" i="26" s="1"/>
  <c r="F237" i="26"/>
  <c r="F25" i="26"/>
  <c r="F17" i="26"/>
  <c r="H71" i="26"/>
  <c r="E136" i="26"/>
  <c r="E137" i="26" s="1"/>
  <c r="I136" i="26"/>
  <c r="M136" i="26"/>
  <c r="E95" i="26"/>
  <c r="E96" i="26" s="1"/>
  <c r="E97" i="26" s="1"/>
  <c r="I95" i="26"/>
  <c r="M95" i="26"/>
  <c r="E119" i="26"/>
  <c r="E120" i="26" s="1"/>
  <c r="I119" i="26"/>
  <c r="M119" i="26"/>
  <c r="E144" i="26"/>
  <c r="E145" i="26" s="1"/>
  <c r="E146" i="26" s="1"/>
  <c r="I144" i="26"/>
  <c r="M144" i="26"/>
  <c r="E79" i="26"/>
  <c r="E80" i="26" s="1"/>
  <c r="I79" i="26"/>
  <c r="M79" i="26"/>
  <c r="E87" i="26"/>
  <c r="E88" i="26" s="1"/>
  <c r="E89" i="26" s="1"/>
  <c r="I87" i="26"/>
  <c r="M87" i="26"/>
  <c r="E103" i="26"/>
  <c r="E104" i="26" s="1"/>
  <c r="I103" i="26"/>
  <c r="M103" i="26"/>
  <c r="E111" i="26"/>
  <c r="E112" i="26" s="1"/>
  <c r="E113" i="26" s="1"/>
  <c r="I111" i="26"/>
  <c r="M111" i="26"/>
  <c r="C55" i="27"/>
  <c r="C61" i="27"/>
  <c r="C67" i="27"/>
  <c r="C79" i="27"/>
  <c r="C85" i="27"/>
  <c r="A267" i="27"/>
  <c r="A261" i="27"/>
  <c r="C266" i="27"/>
  <c r="A255" i="27"/>
  <c r="C260" i="27"/>
  <c r="A249" i="27"/>
  <c r="C254" i="27"/>
  <c r="A243" i="27"/>
  <c r="C248" i="27"/>
  <c r="A237" i="27"/>
  <c r="C158" i="27"/>
  <c r="C236" i="27"/>
  <c r="J237" i="26"/>
  <c r="C242" i="27"/>
  <c r="M237" i="26"/>
  <c r="G237" i="26"/>
  <c r="P237" i="26"/>
  <c r="I50" i="26" l="1"/>
  <c r="I161" i="26"/>
  <c r="J49" i="26"/>
  <c r="K47" i="26" s="1"/>
  <c r="I57" i="26"/>
  <c r="J160" i="26"/>
  <c r="K158" i="26" s="1"/>
  <c r="J56" i="26"/>
  <c r="K54" i="26" s="1"/>
  <c r="I342" i="26"/>
  <c r="J341" i="26"/>
  <c r="K339" i="26" s="1"/>
  <c r="J231" i="26"/>
  <c r="K229" i="26" s="1"/>
  <c r="I232" i="26"/>
  <c r="J287" i="26"/>
  <c r="K284" i="26"/>
  <c r="J303" i="26"/>
  <c r="K300" i="26"/>
  <c r="J279" i="26"/>
  <c r="K276" i="26"/>
  <c r="J255" i="26"/>
  <c r="K252" i="26"/>
  <c r="K310" i="26"/>
  <c r="L308" i="26" s="1"/>
  <c r="K270" i="26"/>
  <c r="L268" i="26" s="1"/>
  <c r="K334" i="26"/>
  <c r="L332" i="26" s="1"/>
  <c r="K294" i="26"/>
  <c r="L292" i="26" s="1"/>
  <c r="J206" i="26"/>
  <c r="K203" i="26"/>
  <c r="K318" i="26"/>
  <c r="L316" i="26" s="1"/>
  <c r="K262" i="26"/>
  <c r="L260" i="26" s="1"/>
  <c r="K326" i="26"/>
  <c r="L324" i="26" s="1"/>
  <c r="I255" i="26"/>
  <c r="I303" i="26"/>
  <c r="I287" i="26"/>
  <c r="I214" i="26"/>
  <c r="J213" i="26"/>
  <c r="K211" i="26" s="1"/>
  <c r="C272" i="27"/>
  <c r="I129" i="26"/>
  <c r="J128" i="26"/>
  <c r="K126" i="26" s="1"/>
  <c r="F33" i="26"/>
  <c r="F189" i="26"/>
  <c r="F223" i="26"/>
  <c r="J223" i="26"/>
  <c r="N33" i="26"/>
  <c r="N197" i="26"/>
  <c r="M197" i="26"/>
  <c r="L223" i="26"/>
  <c r="I197" i="26"/>
  <c r="I245" i="26"/>
  <c r="H223" i="26"/>
  <c r="G223" i="26"/>
  <c r="P197" i="26"/>
  <c r="O33" i="26"/>
  <c r="O197" i="26"/>
  <c r="N152" i="26"/>
  <c r="L152" i="26"/>
  <c r="F152" i="26"/>
  <c r="M33" i="26"/>
  <c r="G33" i="26"/>
  <c r="P189" i="26"/>
  <c r="N189" i="26"/>
  <c r="L189" i="26"/>
  <c r="J189" i="26"/>
  <c r="H189" i="26"/>
  <c r="F197" i="26"/>
  <c r="F245" i="26"/>
  <c r="J197" i="26"/>
  <c r="M223" i="26"/>
  <c r="L33" i="26"/>
  <c r="L197" i="26"/>
  <c r="I33" i="26"/>
  <c r="I223" i="26"/>
  <c r="H33" i="26"/>
  <c r="H197" i="26"/>
  <c r="H245" i="26"/>
  <c r="G197" i="26"/>
  <c r="G245" i="26"/>
  <c r="P223" i="26"/>
  <c r="O152" i="26"/>
  <c r="I152" i="26"/>
  <c r="P33" i="26"/>
  <c r="J33" i="26"/>
  <c r="O189" i="26"/>
  <c r="M189" i="26"/>
  <c r="I189" i="26"/>
  <c r="G189" i="26"/>
  <c r="J63" i="26"/>
  <c r="N63" i="26"/>
  <c r="I63" i="26"/>
  <c r="H63" i="26"/>
  <c r="G63" i="26"/>
  <c r="P63" i="26"/>
  <c r="O63" i="26"/>
  <c r="F63" i="26"/>
  <c r="M63" i="26"/>
  <c r="L63" i="26"/>
  <c r="H152" i="26"/>
  <c r="G152" i="26"/>
  <c r="J152" i="26"/>
  <c r="P152" i="26"/>
  <c r="M152" i="26"/>
  <c r="E25" i="26"/>
  <c r="E26" i="26" s="1"/>
  <c r="E27" i="26" s="1"/>
  <c r="E17" i="26"/>
  <c r="E18" i="26" s="1"/>
  <c r="F16" i="26" s="1"/>
  <c r="F18" i="26" s="1"/>
  <c r="G16" i="26" s="1"/>
  <c r="G18" i="26" s="1"/>
  <c r="H16" i="26" s="1"/>
  <c r="F110" i="26"/>
  <c r="F112" i="26" s="1"/>
  <c r="F86" i="26"/>
  <c r="F88" i="26" s="1"/>
  <c r="G86" i="26" s="1"/>
  <c r="G88" i="26" s="1"/>
  <c r="G89" i="26" s="1"/>
  <c r="O17" i="26"/>
  <c r="F143" i="26"/>
  <c r="F145" i="26" s="1"/>
  <c r="G143" i="26" s="1"/>
  <c r="G145" i="26" s="1"/>
  <c r="H143" i="26" s="1"/>
  <c r="H145" i="26" s="1"/>
  <c r="I143" i="26" s="1"/>
  <c r="F94" i="26"/>
  <c r="F96" i="26" s="1"/>
  <c r="G94" i="26" s="1"/>
  <c r="G96" i="26" s="1"/>
  <c r="H94" i="26" s="1"/>
  <c r="D225" i="27"/>
  <c r="D237" i="27"/>
  <c r="D241" i="27" s="1"/>
  <c r="K17" i="26"/>
  <c r="J71" i="26"/>
  <c r="D249" i="27"/>
  <c r="D253" i="27" s="1"/>
  <c r="C308" i="27"/>
  <c r="E71" i="26"/>
  <c r="E72" i="26" s="1"/>
  <c r="D267" i="27"/>
  <c r="D81" i="27"/>
  <c r="D84" i="27" s="1"/>
  <c r="D255" i="27"/>
  <c r="D257" i="27" s="1"/>
  <c r="E105" i="26"/>
  <c r="F102" i="26"/>
  <c r="F104" i="26" s="1"/>
  <c r="G102" i="26" s="1"/>
  <c r="G104" i="26" s="1"/>
  <c r="H102" i="26" s="1"/>
  <c r="E81" i="26"/>
  <c r="F78" i="26"/>
  <c r="F80" i="26" s="1"/>
  <c r="H25" i="26"/>
  <c r="D17" i="27"/>
  <c r="D222" i="27"/>
  <c r="C42" i="52" s="1"/>
  <c r="D54" i="27"/>
  <c r="E43" i="26"/>
  <c r="F40" i="26"/>
  <c r="E121" i="26"/>
  <c r="F118" i="26"/>
  <c r="F120" i="26" s="1"/>
  <c r="G118" i="26" s="1"/>
  <c r="G120" i="26" s="1"/>
  <c r="H118" i="26" s="1"/>
  <c r="F135" i="26"/>
  <c r="E138" i="26"/>
  <c r="H17" i="26"/>
  <c r="D87" i="27"/>
  <c r="D69" i="27"/>
  <c r="D72" i="27" s="1"/>
  <c r="D261" i="27"/>
  <c r="D75" i="27"/>
  <c r="D78" i="27" s="1"/>
  <c r="D63" i="27"/>
  <c r="D66" i="27" s="1"/>
  <c r="D57" i="27"/>
  <c r="D59" i="27" s="1"/>
  <c r="D243" i="27"/>
  <c r="D247" i="27" s="1"/>
  <c r="D231" i="27"/>
  <c r="F41" i="26"/>
  <c r="E239" i="26"/>
  <c r="F236" i="26"/>
  <c r="C49" i="27"/>
  <c r="O223" i="26"/>
  <c r="J50" i="26" l="1"/>
  <c r="J161" i="26"/>
  <c r="K49" i="26"/>
  <c r="L47" i="26" s="1"/>
  <c r="K56" i="26"/>
  <c r="L54" i="26" s="1"/>
  <c r="K160" i="26"/>
  <c r="L158" i="26" s="1"/>
  <c r="J57" i="26"/>
  <c r="J342" i="26"/>
  <c r="J232" i="26"/>
  <c r="K341" i="26"/>
  <c r="L339" i="26" s="1"/>
  <c r="K231" i="26"/>
  <c r="L229" i="26" s="1"/>
  <c r="K295" i="26"/>
  <c r="K263" i="26"/>
  <c r="K335" i="26"/>
  <c r="K311" i="26"/>
  <c r="L262" i="26"/>
  <c r="M260" i="26" s="1"/>
  <c r="K205" i="26"/>
  <c r="L203" i="26" s="1"/>
  <c r="L334" i="26"/>
  <c r="M332" i="26" s="1"/>
  <c r="L310" i="26"/>
  <c r="M308" i="26" s="1"/>
  <c r="K278" i="26"/>
  <c r="L276" i="26" s="1"/>
  <c r="K286" i="26"/>
  <c r="L284" i="26" s="1"/>
  <c r="L326" i="26"/>
  <c r="M324" i="26" s="1"/>
  <c r="L318" i="26"/>
  <c r="M316" i="26" s="1"/>
  <c r="L270" i="26"/>
  <c r="M268" i="26" s="1"/>
  <c r="L294" i="26"/>
  <c r="M292" i="26" s="1"/>
  <c r="K254" i="26"/>
  <c r="L252" i="26" s="1"/>
  <c r="K302" i="26"/>
  <c r="L300" i="26" s="1"/>
  <c r="K327" i="26"/>
  <c r="K319" i="26"/>
  <c r="K271" i="26"/>
  <c r="D298" i="27"/>
  <c r="R220" i="26"/>
  <c r="E152" i="26"/>
  <c r="E153" i="26" s="1"/>
  <c r="F151" i="26" s="1"/>
  <c r="F153" i="26" s="1"/>
  <c r="F154" i="26" s="1"/>
  <c r="R149" i="26"/>
  <c r="D105" i="27" s="1"/>
  <c r="D107" i="27" s="1"/>
  <c r="E33" i="26"/>
  <c r="E34" i="26" s="1"/>
  <c r="E35" i="26" s="1"/>
  <c r="R30" i="26"/>
  <c r="E197" i="26"/>
  <c r="E198" i="26" s="1"/>
  <c r="F196" i="26" s="1"/>
  <c r="F198" i="26" s="1"/>
  <c r="G196" i="26" s="1"/>
  <c r="G198" i="26" s="1"/>
  <c r="H196" i="26" s="1"/>
  <c r="H198" i="26" s="1"/>
  <c r="I196" i="26" s="1"/>
  <c r="R194" i="26"/>
  <c r="E245" i="26"/>
  <c r="E246" i="26" s="1"/>
  <c r="E247" i="26" s="1"/>
  <c r="R242" i="26"/>
  <c r="D228" i="27" s="1"/>
  <c r="E189" i="26"/>
  <c r="E190" i="26" s="1"/>
  <c r="F188" i="26" s="1"/>
  <c r="F190" i="26" s="1"/>
  <c r="G188" i="26" s="1"/>
  <c r="G190" i="26" s="1"/>
  <c r="H188" i="26" s="1"/>
  <c r="H190" i="26" s="1"/>
  <c r="I188" i="26" s="1"/>
  <c r="R186" i="26"/>
  <c r="E63" i="26"/>
  <c r="E64" i="26" s="1"/>
  <c r="F62" i="26" s="1"/>
  <c r="F64" i="26" s="1"/>
  <c r="G62" i="26" s="1"/>
  <c r="G64" i="26" s="1"/>
  <c r="H62" i="26" s="1"/>
  <c r="H64" i="26" s="1"/>
  <c r="I62" i="26" s="1"/>
  <c r="I64" i="26" s="1"/>
  <c r="J62" i="26" s="1"/>
  <c r="R60" i="26"/>
  <c r="D37" i="27" s="1"/>
  <c r="D91" i="27"/>
  <c r="F24" i="26"/>
  <c r="F26" i="26" s="1"/>
  <c r="G24" i="26" s="1"/>
  <c r="G26" i="26" s="1"/>
  <c r="H24" i="26" s="1"/>
  <c r="H26" i="26" s="1"/>
  <c r="I24" i="26" s="1"/>
  <c r="D270" i="27"/>
  <c r="P42" i="52"/>
  <c r="G42" i="52"/>
  <c r="O42" i="52"/>
  <c r="N42" i="52"/>
  <c r="K152" i="26"/>
  <c r="P245" i="26"/>
  <c r="K197" i="26"/>
  <c r="K33" i="26"/>
  <c r="K63" i="26"/>
  <c r="K189" i="26"/>
  <c r="F105" i="26"/>
  <c r="E223" i="26"/>
  <c r="E224" i="26" s="1"/>
  <c r="E225" i="26" s="1"/>
  <c r="J214" i="26"/>
  <c r="K213" i="26"/>
  <c r="L211" i="26" s="1"/>
  <c r="K128" i="26"/>
  <c r="L126" i="26" s="1"/>
  <c r="J129" i="26"/>
  <c r="E19" i="26"/>
  <c r="D240" i="27"/>
  <c r="F97" i="26"/>
  <c r="F146" i="26"/>
  <c r="D251" i="27"/>
  <c r="G110" i="26"/>
  <c r="G112" i="26" s="1"/>
  <c r="H110" i="26" s="1"/>
  <c r="H112" i="26" s="1"/>
  <c r="I110" i="26" s="1"/>
  <c r="F113" i="26"/>
  <c r="D83" i="27"/>
  <c r="D252" i="27"/>
  <c r="D239" i="27"/>
  <c r="F121" i="26"/>
  <c r="D90" i="27"/>
  <c r="F19" i="26"/>
  <c r="F89" i="26"/>
  <c r="D73" i="27"/>
  <c r="D44" i="27" s="1"/>
  <c r="D65" i="27"/>
  <c r="D71" i="27"/>
  <c r="D53" i="27"/>
  <c r="D258" i="27"/>
  <c r="G78" i="26"/>
  <c r="G80" i="26" s="1"/>
  <c r="H78" i="26" s="1"/>
  <c r="H80" i="26" s="1"/>
  <c r="I78" i="26" s="1"/>
  <c r="F81" i="26"/>
  <c r="H86" i="26"/>
  <c r="H88" i="26" s="1"/>
  <c r="I86" i="26" s="1"/>
  <c r="D89" i="27"/>
  <c r="D60" i="27"/>
  <c r="D77" i="27"/>
  <c r="F70" i="26"/>
  <c r="E73" i="26"/>
  <c r="D271" i="27"/>
  <c r="D269" i="27"/>
  <c r="G105" i="26"/>
  <c r="F42" i="26"/>
  <c r="G40" i="26" s="1"/>
  <c r="D259" i="27"/>
  <c r="D246" i="27"/>
  <c r="H146" i="26"/>
  <c r="G97" i="26"/>
  <c r="D245" i="27"/>
  <c r="G146" i="26"/>
  <c r="D20" i="27"/>
  <c r="D19" i="27"/>
  <c r="C14" i="52" s="1"/>
  <c r="D233" i="27"/>
  <c r="D234" i="27"/>
  <c r="D263" i="27"/>
  <c r="D265" i="27"/>
  <c r="D264" i="27"/>
  <c r="D307" i="27"/>
  <c r="F137" i="26"/>
  <c r="G135" i="26" s="1"/>
  <c r="G137" i="26" s="1"/>
  <c r="H135" i="26" s="1"/>
  <c r="H137" i="26" s="1"/>
  <c r="I135" i="26" s="1"/>
  <c r="D235" i="27"/>
  <c r="H96" i="26"/>
  <c r="I94" i="26" s="1"/>
  <c r="D27" i="27"/>
  <c r="G19" i="26"/>
  <c r="K223" i="26"/>
  <c r="F238" i="26"/>
  <c r="G236" i="26" s="1"/>
  <c r="H18" i="26"/>
  <c r="I16" i="26" s="1"/>
  <c r="I145" i="26"/>
  <c r="J143" i="26" s="1"/>
  <c r="G121" i="26"/>
  <c r="H120" i="26"/>
  <c r="I118" i="26" s="1"/>
  <c r="H104" i="26"/>
  <c r="I102" i="26" s="1"/>
  <c r="D147" i="27" l="1"/>
  <c r="D151" i="27" s="1"/>
  <c r="D158" i="27" s="1"/>
  <c r="R216" i="26"/>
  <c r="R347" i="26"/>
  <c r="K161" i="26"/>
  <c r="K50" i="26"/>
  <c r="C21" i="52"/>
  <c r="P21" i="52" s="1"/>
  <c r="D22" i="27"/>
  <c r="D25" i="27" s="1"/>
  <c r="K57" i="26"/>
  <c r="L160" i="26"/>
  <c r="M158" i="26" s="1"/>
  <c r="L49" i="26"/>
  <c r="M47" i="26" s="1"/>
  <c r="L56" i="26"/>
  <c r="M54" i="26" s="1"/>
  <c r="K232" i="26"/>
  <c r="D351" i="27"/>
  <c r="K342" i="26"/>
  <c r="D301" i="27"/>
  <c r="D300" i="27"/>
  <c r="C43" i="52" s="1"/>
  <c r="D343" i="27"/>
  <c r="D335" i="27"/>
  <c r="L341" i="26"/>
  <c r="M339" i="26" s="1"/>
  <c r="L231" i="26"/>
  <c r="M229" i="26" s="1"/>
  <c r="F32" i="26"/>
  <c r="F34" i="26" s="1"/>
  <c r="G32" i="26" s="1"/>
  <c r="G34" i="26" s="1"/>
  <c r="H32" i="26" s="1"/>
  <c r="H34" i="26" s="1"/>
  <c r="I32" i="26" s="1"/>
  <c r="I34" i="26" s="1"/>
  <c r="J32" i="26" s="1"/>
  <c r="K206" i="26"/>
  <c r="L335" i="26"/>
  <c r="L263" i="26"/>
  <c r="L327" i="26"/>
  <c r="K279" i="26"/>
  <c r="K303" i="26"/>
  <c r="K287" i="26"/>
  <c r="L271" i="26"/>
  <c r="M270" i="26"/>
  <c r="N268" i="26" s="1"/>
  <c r="M326" i="26"/>
  <c r="N324" i="26" s="1"/>
  <c r="L278" i="26"/>
  <c r="M276" i="26" s="1"/>
  <c r="M334" i="26"/>
  <c r="N332" i="26" s="1"/>
  <c r="M262" i="26"/>
  <c r="N260" i="26" s="1"/>
  <c r="K255" i="26"/>
  <c r="L254" i="26"/>
  <c r="M252" i="26" s="1"/>
  <c r="M294" i="26"/>
  <c r="N292" i="26" s="1"/>
  <c r="M318" i="26"/>
  <c r="N316" i="26" s="1"/>
  <c r="M310" i="26"/>
  <c r="N308" i="26" s="1"/>
  <c r="L302" i="26"/>
  <c r="M300" i="26" s="1"/>
  <c r="L286" i="26"/>
  <c r="M284" i="26" s="1"/>
  <c r="L205" i="26"/>
  <c r="M203" i="26" s="1"/>
  <c r="L295" i="26"/>
  <c r="L319" i="26"/>
  <c r="L311" i="26"/>
  <c r="F244" i="26"/>
  <c r="F246" i="26" s="1"/>
  <c r="G244" i="26" s="1"/>
  <c r="G246" i="26" s="1"/>
  <c r="H244" i="26" s="1"/>
  <c r="E154" i="26"/>
  <c r="E65" i="26"/>
  <c r="E199" i="26"/>
  <c r="E191" i="26"/>
  <c r="D45" i="27"/>
  <c r="D103" i="27"/>
  <c r="N14" i="52"/>
  <c r="O14" i="52"/>
  <c r="G14" i="52"/>
  <c r="P14" i="52"/>
  <c r="D109" i="27"/>
  <c r="D116" i="27" s="1"/>
  <c r="F222" i="26"/>
  <c r="F191" i="26"/>
  <c r="K214" i="26"/>
  <c r="L213" i="26"/>
  <c r="M211" i="26" s="1"/>
  <c r="D161" i="27"/>
  <c r="D164" i="27" s="1"/>
  <c r="D108" i="27"/>
  <c r="D114" i="27" s="1"/>
  <c r="L128" i="26"/>
  <c r="M126" i="26" s="1"/>
  <c r="K129" i="26"/>
  <c r="G191" i="26"/>
  <c r="G65" i="26"/>
  <c r="G199" i="26"/>
  <c r="G27" i="26"/>
  <c r="G113" i="26"/>
  <c r="G138" i="26"/>
  <c r="G151" i="26"/>
  <c r="G153" i="26" s="1"/>
  <c r="H151" i="26" s="1"/>
  <c r="H153" i="26" s="1"/>
  <c r="I151" i="26" s="1"/>
  <c r="I153" i="26" s="1"/>
  <c r="J151" i="26" s="1"/>
  <c r="M17" i="26"/>
  <c r="H65" i="26"/>
  <c r="G81" i="26"/>
  <c r="F43" i="26"/>
  <c r="F72" i="26"/>
  <c r="G70" i="26" s="1"/>
  <c r="F199" i="26"/>
  <c r="F138" i="26"/>
  <c r="F239" i="26"/>
  <c r="F65" i="26"/>
  <c r="H191" i="26"/>
  <c r="H113" i="26"/>
  <c r="F27" i="26"/>
  <c r="I146" i="26"/>
  <c r="H97" i="26"/>
  <c r="H89" i="26"/>
  <c r="D112" i="27"/>
  <c r="D111" i="27"/>
  <c r="I96" i="26"/>
  <c r="J94" i="26" s="1"/>
  <c r="I88" i="26"/>
  <c r="J86" i="26" s="1"/>
  <c r="H138" i="26"/>
  <c r="G42" i="26"/>
  <c r="H40" i="26" s="1"/>
  <c r="H42" i="26" s="1"/>
  <c r="I40" i="26" s="1"/>
  <c r="I42" i="26" s="1"/>
  <c r="J40" i="26" s="1"/>
  <c r="D29" i="27"/>
  <c r="D30" i="27"/>
  <c r="D326" i="27" s="1"/>
  <c r="H19" i="26"/>
  <c r="I104" i="26"/>
  <c r="J102" i="26" s="1"/>
  <c r="I26" i="26"/>
  <c r="J24" i="26" s="1"/>
  <c r="J64" i="26"/>
  <c r="K62" i="26" s="1"/>
  <c r="I120" i="26"/>
  <c r="J118" i="26" s="1"/>
  <c r="I80" i="26"/>
  <c r="J78" i="26" s="1"/>
  <c r="I198" i="26"/>
  <c r="J196" i="26" s="1"/>
  <c r="D203" i="27"/>
  <c r="J145" i="26"/>
  <c r="K143" i="26" s="1"/>
  <c r="I18" i="26"/>
  <c r="J16" i="26" s="1"/>
  <c r="I190" i="26"/>
  <c r="J188" i="26" s="1"/>
  <c r="I112" i="26"/>
  <c r="J110" i="26" s="1"/>
  <c r="I137" i="26"/>
  <c r="J135" i="26" s="1"/>
  <c r="G238" i="26"/>
  <c r="H236" i="26" s="1"/>
  <c r="H105" i="26"/>
  <c r="H27" i="26"/>
  <c r="I65" i="26"/>
  <c r="H121" i="26"/>
  <c r="H81" i="26"/>
  <c r="H199" i="26"/>
  <c r="D206" i="27" l="1"/>
  <c r="D210" i="27" s="1"/>
  <c r="D205" i="27"/>
  <c r="D150" i="27"/>
  <c r="D156" i="27" s="1"/>
  <c r="D336" i="27" s="1"/>
  <c r="D149" i="27"/>
  <c r="D154" i="27" s="1"/>
  <c r="D328" i="27" s="1"/>
  <c r="C25" i="52"/>
  <c r="C18" i="52"/>
  <c r="O18" i="52" s="1"/>
  <c r="D317" i="27"/>
  <c r="C47" i="52"/>
  <c r="D24" i="27"/>
  <c r="C15" i="52" s="1"/>
  <c r="P15" i="52" s="1"/>
  <c r="O21" i="52"/>
  <c r="G21" i="52"/>
  <c r="N21" i="52"/>
  <c r="G35" i="26"/>
  <c r="N18" i="52"/>
  <c r="M56" i="26"/>
  <c r="N54" i="26" s="1"/>
  <c r="M160" i="26"/>
  <c r="N158" i="26" s="1"/>
  <c r="L57" i="26"/>
  <c r="L161" i="26"/>
  <c r="M49" i="26"/>
  <c r="N47" i="26" s="1"/>
  <c r="L50" i="26"/>
  <c r="H35" i="26"/>
  <c r="F35" i="26"/>
  <c r="L342" i="26"/>
  <c r="M341" i="26"/>
  <c r="N339" i="26" s="1"/>
  <c r="L232" i="26"/>
  <c r="M231" i="26"/>
  <c r="N229" i="26" s="1"/>
  <c r="F247" i="26"/>
  <c r="M295" i="26"/>
  <c r="M319" i="26"/>
  <c r="L255" i="26"/>
  <c r="N318" i="26"/>
  <c r="O316" i="26" s="1"/>
  <c r="M254" i="26"/>
  <c r="N252" i="26" s="1"/>
  <c r="L287" i="26"/>
  <c r="M335" i="26"/>
  <c r="M327" i="26"/>
  <c r="M205" i="26"/>
  <c r="N203" i="26" s="1"/>
  <c r="M302" i="26"/>
  <c r="N300" i="26" s="1"/>
  <c r="N262" i="26"/>
  <c r="O260" i="26" s="1"/>
  <c r="M278" i="26"/>
  <c r="N276" i="26" s="1"/>
  <c r="N270" i="26"/>
  <c r="O268" i="26" s="1"/>
  <c r="N310" i="26"/>
  <c r="O308" i="26" s="1"/>
  <c r="N294" i="26"/>
  <c r="O292" i="26" s="1"/>
  <c r="L206" i="26"/>
  <c r="L303" i="26"/>
  <c r="M263" i="26"/>
  <c r="L279" i="26"/>
  <c r="M271" i="26"/>
  <c r="M286" i="26"/>
  <c r="N284" i="26" s="1"/>
  <c r="N334" i="26"/>
  <c r="O332" i="26" s="1"/>
  <c r="N326" i="26"/>
  <c r="O324" i="26" s="1"/>
  <c r="M311" i="26"/>
  <c r="R350" i="26"/>
  <c r="R354" i="26" s="1"/>
  <c r="D46" i="27"/>
  <c r="D352" i="27"/>
  <c r="O43" i="52"/>
  <c r="O45" i="52" s="1"/>
  <c r="P43" i="52"/>
  <c r="P45" i="52" s="1"/>
  <c r="G43" i="52"/>
  <c r="G45" i="52" s="1"/>
  <c r="N43" i="52"/>
  <c r="C45" i="52"/>
  <c r="D115" i="27"/>
  <c r="F224" i="26"/>
  <c r="G222" i="26" s="1"/>
  <c r="D171" i="27"/>
  <c r="D170" i="27"/>
  <c r="C54" i="52" s="1"/>
  <c r="O54" i="52" s="1"/>
  <c r="M213" i="26"/>
  <c r="N211" i="26" s="1"/>
  <c r="L214" i="26"/>
  <c r="D163" i="27"/>
  <c r="D165" i="27"/>
  <c r="D172" i="27" s="1"/>
  <c r="H154" i="26"/>
  <c r="M128" i="26"/>
  <c r="N126" i="26" s="1"/>
  <c r="L129" i="26"/>
  <c r="G154" i="26"/>
  <c r="D12" i="27"/>
  <c r="D14" i="27" s="1"/>
  <c r="H43" i="26"/>
  <c r="G72" i="26"/>
  <c r="H70" i="26" s="1"/>
  <c r="F73" i="26"/>
  <c r="G239" i="26"/>
  <c r="I191" i="26"/>
  <c r="I35" i="26"/>
  <c r="I19" i="26"/>
  <c r="I27" i="26"/>
  <c r="I154" i="26"/>
  <c r="I89" i="26"/>
  <c r="G247" i="26"/>
  <c r="H246" i="26"/>
  <c r="I244" i="26" s="1"/>
  <c r="I97" i="26"/>
  <c r="G43" i="26"/>
  <c r="I199" i="26"/>
  <c r="J88" i="26"/>
  <c r="K86" i="26" s="1"/>
  <c r="J96" i="26"/>
  <c r="K94" i="26" s="1"/>
  <c r="I113" i="26"/>
  <c r="J146" i="26"/>
  <c r="I81" i="26"/>
  <c r="J137" i="26"/>
  <c r="K135" i="26" s="1"/>
  <c r="J42" i="26"/>
  <c r="K40" i="26" s="1"/>
  <c r="J120" i="26"/>
  <c r="K118" i="26" s="1"/>
  <c r="K64" i="26"/>
  <c r="L62" i="26" s="1"/>
  <c r="J104" i="26"/>
  <c r="K102" i="26" s="1"/>
  <c r="H238" i="26"/>
  <c r="I236" i="26" s="1"/>
  <c r="J112" i="26"/>
  <c r="K110" i="26" s="1"/>
  <c r="J190" i="26"/>
  <c r="K188" i="26" s="1"/>
  <c r="J34" i="26"/>
  <c r="K32" i="26" s="1"/>
  <c r="J18" i="26"/>
  <c r="K16" i="26" s="1"/>
  <c r="K145" i="26"/>
  <c r="L143" i="26" s="1"/>
  <c r="J198" i="26"/>
  <c r="K196" i="26" s="1"/>
  <c r="J80" i="26"/>
  <c r="K78" i="26" s="1"/>
  <c r="J26" i="26"/>
  <c r="K24" i="26" s="1"/>
  <c r="J153" i="26"/>
  <c r="K151" i="26" s="1"/>
  <c r="I138" i="26"/>
  <c r="I43" i="26"/>
  <c r="I121" i="26"/>
  <c r="J65" i="26"/>
  <c r="I105" i="26"/>
  <c r="P47" i="52" l="1"/>
  <c r="O47" i="52"/>
  <c r="N47" i="52"/>
  <c r="G25" i="52"/>
  <c r="P25" i="52"/>
  <c r="D209" i="27"/>
  <c r="D342" i="27" s="1"/>
  <c r="D208" i="27"/>
  <c r="C39" i="52" s="1"/>
  <c r="O39" i="52" s="1"/>
  <c r="D153" i="27"/>
  <c r="D319" i="27" s="1"/>
  <c r="D333" i="27"/>
  <c r="C52" i="52"/>
  <c r="O52" i="52" s="1"/>
  <c r="D157" i="27"/>
  <c r="N25" i="52"/>
  <c r="O25" i="52"/>
  <c r="D341" i="27"/>
  <c r="D349" i="27"/>
  <c r="D316" i="27"/>
  <c r="C48" i="52"/>
  <c r="G15" i="52"/>
  <c r="N15" i="52"/>
  <c r="O15" i="52"/>
  <c r="G18" i="52"/>
  <c r="P18" i="52"/>
  <c r="M57" i="26"/>
  <c r="N56" i="26"/>
  <c r="O54" i="26" s="1"/>
  <c r="N49" i="26"/>
  <c r="O47" i="26" s="1"/>
  <c r="N160" i="26"/>
  <c r="O158" i="26" s="1"/>
  <c r="M50" i="26"/>
  <c r="M161" i="26"/>
  <c r="D347" i="27"/>
  <c r="M232" i="26"/>
  <c r="N341" i="26"/>
  <c r="O339" i="26" s="1"/>
  <c r="M342" i="26"/>
  <c r="N231" i="26"/>
  <c r="O229" i="26" s="1"/>
  <c r="N335" i="26"/>
  <c r="N319" i="26"/>
  <c r="O334" i="26"/>
  <c r="P332" i="26" s="1"/>
  <c r="P334" i="26" s="1"/>
  <c r="P335" i="26" s="1"/>
  <c r="O318" i="26"/>
  <c r="P316" i="26" s="1"/>
  <c r="P318" i="26" s="1"/>
  <c r="P319" i="26" s="1"/>
  <c r="N295" i="26"/>
  <c r="N271" i="26"/>
  <c r="N263" i="26"/>
  <c r="M206" i="26"/>
  <c r="O310" i="26"/>
  <c r="P308" i="26" s="1"/>
  <c r="P310" i="26" s="1"/>
  <c r="P311" i="26" s="1"/>
  <c r="N278" i="26"/>
  <c r="O276" i="26" s="1"/>
  <c r="N302" i="26"/>
  <c r="O300" i="26" s="1"/>
  <c r="O326" i="26"/>
  <c r="P324" i="26" s="1"/>
  <c r="P326" i="26" s="1"/>
  <c r="P327" i="26" s="1"/>
  <c r="N286" i="26"/>
  <c r="O284" i="26" s="1"/>
  <c r="N254" i="26"/>
  <c r="O252" i="26" s="1"/>
  <c r="N311" i="26"/>
  <c r="M279" i="26"/>
  <c r="M303" i="26"/>
  <c r="O294" i="26"/>
  <c r="P292" i="26" s="1"/>
  <c r="P294" i="26" s="1"/>
  <c r="P295" i="26" s="1"/>
  <c r="O270" i="26"/>
  <c r="P268" i="26" s="1"/>
  <c r="P270" i="26" s="1"/>
  <c r="P271" i="26" s="1"/>
  <c r="O262" i="26"/>
  <c r="P260" i="26" s="1"/>
  <c r="P262" i="26" s="1"/>
  <c r="P263" i="26" s="1"/>
  <c r="N205" i="26"/>
  <c r="O203" i="26" s="1"/>
  <c r="N327" i="26"/>
  <c r="M287" i="26"/>
  <c r="M255" i="26"/>
  <c r="G47" i="52"/>
  <c r="C13" i="52"/>
  <c r="D47" i="27"/>
  <c r="D48" i="27"/>
  <c r="N45" i="52"/>
  <c r="F225" i="26"/>
  <c r="G224" i="26"/>
  <c r="H222" i="26" s="1"/>
  <c r="M214" i="26"/>
  <c r="N213" i="26"/>
  <c r="O211" i="26" s="1"/>
  <c r="D167" i="27"/>
  <c r="C32" i="52" s="1"/>
  <c r="D168" i="27"/>
  <c r="D350" i="27"/>
  <c r="N128" i="26"/>
  <c r="O126" i="26" s="1"/>
  <c r="M129" i="26"/>
  <c r="D15" i="27"/>
  <c r="G73" i="26"/>
  <c r="H72" i="26"/>
  <c r="I70" i="26" s="1"/>
  <c r="K146" i="26"/>
  <c r="H247" i="26"/>
  <c r="I246" i="26"/>
  <c r="J244" i="26" s="1"/>
  <c r="J154" i="26"/>
  <c r="J27" i="26"/>
  <c r="J43" i="26"/>
  <c r="J89" i="26"/>
  <c r="J199" i="26"/>
  <c r="K96" i="26"/>
  <c r="L94" i="26" s="1"/>
  <c r="J81" i="26"/>
  <c r="J138" i="26"/>
  <c r="K88" i="26"/>
  <c r="L86" i="26" s="1"/>
  <c r="J97" i="26"/>
  <c r="K153" i="26"/>
  <c r="L151" i="26" s="1"/>
  <c r="K26" i="26"/>
  <c r="L24" i="26" s="1"/>
  <c r="K80" i="26"/>
  <c r="L78" i="26" s="1"/>
  <c r="K198" i="26"/>
  <c r="L196" i="26" s="1"/>
  <c r="L145" i="26"/>
  <c r="M143" i="26" s="1"/>
  <c r="K42" i="26"/>
  <c r="L40" i="26" s="1"/>
  <c r="K137" i="26"/>
  <c r="L135" i="26" s="1"/>
  <c r="J19" i="26"/>
  <c r="J35" i="26"/>
  <c r="J191" i="26"/>
  <c r="J113" i="26"/>
  <c r="H239" i="26"/>
  <c r="J105" i="26"/>
  <c r="K65" i="26"/>
  <c r="J121" i="26"/>
  <c r="K18" i="26"/>
  <c r="L16" i="26" s="1"/>
  <c r="K34" i="26"/>
  <c r="L32" i="26" s="1"/>
  <c r="K190" i="26"/>
  <c r="L188" i="26" s="1"/>
  <c r="K112" i="26"/>
  <c r="L110" i="26" s="1"/>
  <c r="I238" i="26"/>
  <c r="J236" i="26" s="1"/>
  <c r="K104" i="26"/>
  <c r="L102" i="26" s="1"/>
  <c r="L64" i="26"/>
  <c r="M62" i="26" s="1"/>
  <c r="K120" i="26"/>
  <c r="L118" i="26" s="1"/>
  <c r="N48" i="52" l="1"/>
  <c r="N49" i="52" s="1"/>
  <c r="O48" i="52"/>
  <c r="P48" i="52"/>
  <c r="P49" i="52" s="1"/>
  <c r="D331" i="27"/>
  <c r="C26" i="52"/>
  <c r="G39" i="52"/>
  <c r="D334" i="27"/>
  <c r="D337" i="27" s="1"/>
  <c r="P39" i="52"/>
  <c r="N39" i="52"/>
  <c r="D339" i="27"/>
  <c r="D315" i="27"/>
  <c r="C30" i="52"/>
  <c r="N30" i="52" s="1"/>
  <c r="D344" i="27"/>
  <c r="D345" i="27" s="1"/>
  <c r="D313" i="27"/>
  <c r="D324" i="27"/>
  <c r="C55" i="52"/>
  <c r="G53" i="52"/>
  <c r="P53" i="52"/>
  <c r="N53" i="52"/>
  <c r="P54" i="52"/>
  <c r="N54" i="52"/>
  <c r="G54" i="52"/>
  <c r="D322" i="27"/>
  <c r="C49" i="52"/>
  <c r="G48" i="52"/>
  <c r="G49" i="52" s="1"/>
  <c r="O49" i="52"/>
  <c r="N57" i="26"/>
  <c r="N161" i="26"/>
  <c r="O160" i="26"/>
  <c r="P158" i="26" s="1"/>
  <c r="P160" i="26" s="1"/>
  <c r="P161" i="26" s="1"/>
  <c r="O56" i="26"/>
  <c r="P54" i="26" s="1"/>
  <c r="P56" i="26" s="1"/>
  <c r="P57" i="26" s="1"/>
  <c r="O49" i="26"/>
  <c r="P47" i="26" s="1"/>
  <c r="P49" i="26" s="1"/>
  <c r="P50" i="26" s="1"/>
  <c r="N50" i="26"/>
  <c r="N342" i="26"/>
  <c r="N232" i="26"/>
  <c r="O341" i="26"/>
  <c r="P339" i="26" s="1"/>
  <c r="P341" i="26" s="1"/>
  <c r="P342" i="26" s="1"/>
  <c r="O231" i="26"/>
  <c r="P229" i="26" s="1"/>
  <c r="P231" i="26" s="1"/>
  <c r="P232" i="26" s="1"/>
  <c r="O311" i="26"/>
  <c r="O295" i="26"/>
  <c r="O13" i="52"/>
  <c r="O16" i="52" s="1"/>
  <c r="P13" i="52"/>
  <c r="P16" i="52" s="1"/>
  <c r="N13" i="52"/>
  <c r="N16" i="52" s="1"/>
  <c r="O335" i="26"/>
  <c r="S330" i="26" s="1"/>
  <c r="O263" i="26"/>
  <c r="N303" i="26"/>
  <c r="O254" i="26"/>
  <c r="P252" i="26" s="1"/>
  <c r="P254" i="26" s="1"/>
  <c r="P255" i="26" s="1"/>
  <c r="O302" i="26"/>
  <c r="P300" i="26" s="1"/>
  <c r="P302" i="26" s="1"/>
  <c r="P303" i="26" s="1"/>
  <c r="N206" i="26"/>
  <c r="O271" i="26"/>
  <c r="N255" i="26"/>
  <c r="O327" i="26"/>
  <c r="O286" i="26"/>
  <c r="P284" i="26" s="1"/>
  <c r="P286" i="26" s="1"/>
  <c r="P287" i="26" s="1"/>
  <c r="O278" i="26"/>
  <c r="P276" i="26" s="1"/>
  <c r="P278" i="26" s="1"/>
  <c r="P279" i="26" s="1"/>
  <c r="O205" i="26"/>
  <c r="P203" i="26" s="1"/>
  <c r="P205" i="26" s="1"/>
  <c r="P206" i="26" s="1"/>
  <c r="N287" i="26"/>
  <c r="N279" i="26"/>
  <c r="O319" i="26"/>
  <c r="G13" i="52"/>
  <c r="G16" i="52" s="1"/>
  <c r="C16" i="52"/>
  <c r="D101" i="27"/>
  <c r="C22" i="52" s="1"/>
  <c r="D318" i="27"/>
  <c r="D327" i="27"/>
  <c r="D102" i="27"/>
  <c r="P52" i="52"/>
  <c r="G52" i="52"/>
  <c r="N52" i="52"/>
  <c r="G225" i="26"/>
  <c r="H224" i="26"/>
  <c r="I222" i="26" s="1"/>
  <c r="N214" i="26"/>
  <c r="D353" i="27"/>
  <c r="O213" i="26"/>
  <c r="P211" i="26" s="1"/>
  <c r="P213" i="26" s="1"/>
  <c r="P214" i="26" s="1"/>
  <c r="D325" i="27"/>
  <c r="O128" i="26"/>
  <c r="P126" i="26" s="1"/>
  <c r="P128" i="26" s="1"/>
  <c r="P129" i="26" s="1"/>
  <c r="N129" i="26"/>
  <c r="H73" i="26"/>
  <c r="I72" i="26"/>
  <c r="J70" i="26" s="1"/>
  <c r="J246" i="26"/>
  <c r="K244" i="26" s="1"/>
  <c r="K121" i="26"/>
  <c r="K105" i="26"/>
  <c r="I239" i="26"/>
  <c r="K191" i="26"/>
  <c r="K35" i="26"/>
  <c r="L146" i="26"/>
  <c r="K199" i="26"/>
  <c r="K81" i="26"/>
  <c r="K27" i="26"/>
  <c r="K89" i="26"/>
  <c r="I247" i="26"/>
  <c r="L65" i="26"/>
  <c r="L88" i="26"/>
  <c r="M86" i="26" s="1"/>
  <c r="K113" i="26"/>
  <c r="K97" i="26"/>
  <c r="L96" i="26"/>
  <c r="M94" i="26" s="1"/>
  <c r="L120" i="26"/>
  <c r="M118" i="26" s="1"/>
  <c r="M64" i="26"/>
  <c r="N62" i="26" s="1"/>
  <c r="L104" i="26"/>
  <c r="M102" i="26" s="1"/>
  <c r="J238" i="26"/>
  <c r="K236" i="26" s="1"/>
  <c r="L112" i="26"/>
  <c r="M110" i="26" s="1"/>
  <c r="L190" i="26"/>
  <c r="M188" i="26" s="1"/>
  <c r="L34" i="26"/>
  <c r="M32" i="26" s="1"/>
  <c r="M145" i="26"/>
  <c r="N143" i="26" s="1"/>
  <c r="L198" i="26"/>
  <c r="M196" i="26" s="1"/>
  <c r="L80" i="26"/>
  <c r="M78" i="26" s="1"/>
  <c r="L26" i="26"/>
  <c r="M24" i="26" s="1"/>
  <c r="K19" i="26"/>
  <c r="K138" i="26"/>
  <c r="K43" i="26"/>
  <c r="K154" i="26"/>
  <c r="L18" i="26"/>
  <c r="M16" i="26" s="1"/>
  <c r="L137" i="26"/>
  <c r="M135" i="26" s="1"/>
  <c r="L42" i="26"/>
  <c r="M40" i="26" s="1"/>
  <c r="L153" i="26"/>
  <c r="M151" i="26" s="1"/>
  <c r="P26" i="52" l="1"/>
  <c r="P27" i="52" s="1"/>
  <c r="O26" i="52"/>
  <c r="O27" i="52" s="1"/>
  <c r="N26" i="52"/>
  <c r="N27" i="52" s="1"/>
  <c r="C27" i="52"/>
  <c r="G26" i="52"/>
  <c r="G27" i="52" s="1"/>
  <c r="P32" i="52"/>
  <c r="N32" i="52"/>
  <c r="O32" i="52"/>
  <c r="G32" i="52"/>
  <c r="C57" i="52"/>
  <c r="N55" i="52"/>
  <c r="N57" i="52" s="1"/>
  <c r="O55" i="52"/>
  <c r="O57" i="52" s="1"/>
  <c r="G55" i="52"/>
  <c r="G57" i="52" s="1"/>
  <c r="P55" i="52"/>
  <c r="P57" i="52" s="1"/>
  <c r="G31" i="52"/>
  <c r="N31" i="52"/>
  <c r="O31" i="52"/>
  <c r="P31" i="52"/>
  <c r="C33" i="52"/>
  <c r="O50" i="26"/>
  <c r="S45" i="26" s="1"/>
  <c r="E35" i="27" s="1"/>
  <c r="O161" i="26"/>
  <c r="S156" i="26" s="1"/>
  <c r="E118" i="27" s="1"/>
  <c r="O57" i="26"/>
  <c r="S52" i="26" s="1"/>
  <c r="E34" i="27" s="1"/>
  <c r="O342" i="26"/>
  <c r="S337" i="26" s="1"/>
  <c r="E288" i="27" s="1"/>
  <c r="P22" i="52"/>
  <c r="P23" i="52" s="1"/>
  <c r="O22" i="52"/>
  <c r="O23" i="52" s="1"/>
  <c r="O232" i="26"/>
  <c r="S227" i="26" s="1"/>
  <c r="E212" i="27" s="1"/>
  <c r="O279" i="26"/>
  <c r="O303" i="26"/>
  <c r="D355" i="27"/>
  <c r="D356" i="27" s="1"/>
  <c r="O206" i="26"/>
  <c r="S201" i="26" s="1"/>
  <c r="E174" i="27" s="1"/>
  <c r="O287" i="26"/>
  <c r="O255" i="26"/>
  <c r="D329" i="27"/>
  <c r="G22" i="52"/>
  <c r="G23" i="52" s="1"/>
  <c r="C23" i="52"/>
  <c r="N22" i="52"/>
  <c r="P30" i="52"/>
  <c r="G30" i="52"/>
  <c r="O30" i="52"/>
  <c r="D320" i="27"/>
  <c r="H225" i="26"/>
  <c r="I224" i="26"/>
  <c r="J222" i="26" s="1"/>
  <c r="O214" i="26"/>
  <c r="S209" i="26" s="1"/>
  <c r="S322" i="26"/>
  <c r="O129" i="26"/>
  <c r="S124" i="26" s="1"/>
  <c r="J72" i="26"/>
  <c r="K70" i="26" s="1"/>
  <c r="I73" i="26"/>
  <c r="L191" i="26"/>
  <c r="J247" i="26"/>
  <c r="K246" i="26"/>
  <c r="L244" i="26" s="1"/>
  <c r="L113" i="26"/>
  <c r="L89" i="26"/>
  <c r="M88" i="26"/>
  <c r="N86" i="26" s="1"/>
  <c r="L97" i="26"/>
  <c r="M96" i="26"/>
  <c r="N94" i="26" s="1"/>
  <c r="M190" i="26"/>
  <c r="N188" i="26" s="1"/>
  <c r="M112" i="26"/>
  <c r="N110" i="26" s="1"/>
  <c r="L154" i="26"/>
  <c r="L43" i="26"/>
  <c r="L138" i="26"/>
  <c r="L19" i="26"/>
  <c r="L27" i="26"/>
  <c r="L81" i="26"/>
  <c r="L199" i="26"/>
  <c r="M146" i="26"/>
  <c r="L35" i="26"/>
  <c r="J239" i="26"/>
  <c r="L105" i="26"/>
  <c r="M65" i="26"/>
  <c r="L121" i="26"/>
  <c r="M153" i="26"/>
  <c r="N151" i="26" s="1"/>
  <c r="M42" i="26"/>
  <c r="N40" i="26" s="1"/>
  <c r="M137" i="26"/>
  <c r="N135" i="26" s="1"/>
  <c r="M18" i="26"/>
  <c r="N16" i="26" s="1"/>
  <c r="M26" i="26"/>
  <c r="N24" i="26" s="1"/>
  <c r="M80" i="26"/>
  <c r="N78" i="26" s="1"/>
  <c r="M198" i="26"/>
  <c r="N196" i="26" s="1"/>
  <c r="N145" i="26"/>
  <c r="O143" i="26" s="1"/>
  <c r="M34" i="26"/>
  <c r="N32" i="26" s="1"/>
  <c r="K238" i="26"/>
  <c r="L236" i="26" s="1"/>
  <c r="M104" i="26"/>
  <c r="N102" i="26" s="1"/>
  <c r="N64" i="26"/>
  <c r="O62" i="26" s="1"/>
  <c r="M120" i="26"/>
  <c r="N118" i="26" s="1"/>
  <c r="P33" i="52" l="1"/>
  <c r="E291" i="27"/>
  <c r="E295" i="27" s="1"/>
  <c r="E290" i="27"/>
  <c r="E214" i="27"/>
  <c r="E215" i="27"/>
  <c r="E219" i="27" s="1"/>
  <c r="G33" i="52"/>
  <c r="O33" i="52"/>
  <c r="O36" i="52" s="1"/>
  <c r="N33" i="52"/>
  <c r="P36" i="52"/>
  <c r="G36" i="52"/>
  <c r="C36" i="52"/>
  <c r="E121" i="27"/>
  <c r="E122" i="27"/>
  <c r="E32" i="27"/>
  <c r="R352" i="26"/>
  <c r="E178" i="27"/>
  <c r="E185" i="27" s="1"/>
  <c r="E176" i="27"/>
  <c r="E177" i="27"/>
  <c r="N23" i="52"/>
  <c r="E281" i="27"/>
  <c r="E274" i="27"/>
  <c r="E276" i="27" s="1"/>
  <c r="E188" i="27"/>
  <c r="I225" i="26"/>
  <c r="J224" i="26"/>
  <c r="K222" i="26" s="1"/>
  <c r="E94" i="27"/>
  <c r="K72" i="26"/>
  <c r="L70" i="26" s="1"/>
  <c r="J73" i="26"/>
  <c r="M27" i="26"/>
  <c r="M97" i="26"/>
  <c r="M43" i="26"/>
  <c r="M113" i="26"/>
  <c r="M191" i="26"/>
  <c r="K247" i="26"/>
  <c r="L246" i="26"/>
  <c r="M244" i="26" s="1"/>
  <c r="M19" i="26"/>
  <c r="M89" i="26"/>
  <c r="N96" i="26"/>
  <c r="O94" i="26" s="1"/>
  <c r="N88" i="26"/>
  <c r="O86" i="26" s="1"/>
  <c r="M138" i="26"/>
  <c r="N120" i="26"/>
  <c r="O118" i="26" s="1"/>
  <c r="N26" i="26"/>
  <c r="O24" i="26" s="1"/>
  <c r="N18" i="26"/>
  <c r="O16" i="26" s="1"/>
  <c r="N137" i="26"/>
  <c r="O135" i="26" s="1"/>
  <c r="N42" i="26"/>
  <c r="O40" i="26" s="1"/>
  <c r="N112" i="26"/>
  <c r="O110" i="26" s="1"/>
  <c r="N190" i="26"/>
  <c r="O188" i="26" s="1"/>
  <c r="M121" i="26"/>
  <c r="N65" i="26"/>
  <c r="M105" i="26"/>
  <c r="K239" i="26"/>
  <c r="M35" i="26"/>
  <c r="N146" i="26"/>
  <c r="M199" i="26"/>
  <c r="M81" i="26"/>
  <c r="M154" i="26"/>
  <c r="O64" i="26"/>
  <c r="P62" i="26" s="1"/>
  <c r="N104" i="26"/>
  <c r="O102" i="26" s="1"/>
  <c r="L238" i="26"/>
  <c r="M236" i="26" s="1"/>
  <c r="N34" i="26"/>
  <c r="O32" i="26" s="1"/>
  <c r="O145" i="26"/>
  <c r="P143" i="26" s="1"/>
  <c r="N198" i="26"/>
  <c r="O196" i="26" s="1"/>
  <c r="N80" i="26"/>
  <c r="O78" i="26" s="1"/>
  <c r="N153" i="26"/>
  <c r="O151" i="26" s="1"/>
  <c r="N36" i="52" l="1"/>
  <c r="E293" i="27"/>
  <c r="E294" i="27"/>
  <c r="E218" i="27"/>
  <c r="E217" i="27"/>
  <c r="E181" i="27"/>
  <c r="E180" i="27"/>
  <c r="E183" i="27"/>
  <c r="E184" i="27"/>
  <c r="E283" i="27"/>
  <c r="E277" i="27"/>
  <c r="E278" i="27"/>
  <c r="E284" i="27"/>
  <c r="E285" i="27"/>
  <c r="E192" i="27"/>
  <c r="E199" i="27" s="1"/>
  <c r="E190" i="27"/>
  <c r="E194" i="27" s="1"/>
  <c r="E191" i="27"/>
  <c r="E198" i="27" s="1"/>
  <c r="K224" i="26"/>
  <c r="L222" i="26" s="1"/>
  <c r="J225" i="26"/>
  <c r="E97" i="27"/>
  <c r="E96" i="27"/>
  <c r="E98" i="27"/>
  <c r="N138" i="26"/>
  <c r="L72" i="26"/>
  <c r="M70" i="26" s="1"/>
  <c r="K73" i="26"/>
  <c r="L247" i="26"/>
  <c r="M246" i="26"/>
  <c r="N244" i="26" s="1"/>
  <c r="N89" i="26"/>
  <c r="O88" i="26"/>
  <c r="P86" i="26" s="1"/>
  <c r="N81" i="26"/>
  <c r="N97" i="26"/>
  <c r="O96" i="26"/>
  <c r="P94" i="26" s="1"/>
  <c r="O80" i="26"/>
  <c r="P78" i="26" s="1"/>
  <c r="O137" i="26"/>
  <c r="P135" i="26" s="1"/>
  <c r="N154" i="26"/>
  <c r="N199" i="26"/>
  <c r="O146" i="26"/>
  <c r="N35" i="26"/>
  <c r="L239" i="26"/>
  <c r="N105" i="26"/>
  <c r="O65" i="26"/>
  <c r="N191" i="26"/>
  <c r="N113" i="26"/>
  <c r="N43" i="26"/>
  <c r="N19" i="26"/>
  <c r="N27" i="26"/>
  <c r="N121" i="26"/>
  <c r="O153" i="26"/>
  <c r="P151" i="26" s="1"/>
  <c r="O198" i="26"/>
  <c r="P196" i="26" s="1"/>
  <c r="P145" i="26"/>
  <c r="P146" i="26" s="1"/>
  <c r="O34" i="26"/>
  <c r="P32" i="26" s="1"/>
  <c r="M238" i="26"/>
  <c r="N236" i="26" s="1"/>
  <c r="O104" i="26"/>
  <c r="P102" i="26" s="1"/>
  <c r="P64" i="26"/>
  <c r="P65" i="26" s="1"/>
  <c r="O190" i="26"/>
  <c r="P188" i="26" s="1"/>
  <c r="O112" i="26"/>
  <c r="P110" i="26" s="1"/>
  <c r="O42" i="26"/>
  <c r="P40" i="26" s="1"/>
  <c r="O18" i="26"/>
  <c r="P16" i="26" s="1"/>
  <c r="O26" i="26"/>
  <c r="P24" i="26" s="1"/>
  <c r="O120" i="26"/>
  <c r="P118" i="26" s="1"/>
  <c r="E51" i="52" l="1"/>
  <c r="E53" i="52"/>
  <c r="E29" i="52"/>
  <c r="J29" i="52" s="1"/>
  <c r="K29" i="52" s="1"/>
  <c r="E31" i="52"/>
  <c r="J51" i="52"/>
  <c r="K51" i="52" s="1"/>
  <c r="S298" i="26"/>
  <c r="E255" i="27" s="1"/>
  <c r="E258" i="27" s="1"/>
  <c r="S60" i="26"/>
  <c r="E37" i="27" s="1"/>
  <c r="S141" i="26"/>
  <c r="E51" i="27" s="1"/>
  <c r="E54" i="27" s="1"/>
  <c r="E197" i="27"/>
  <c r="E195" i="27"/>
  <c r="M247" i="26"/>
  <c r="L224" i="26"/>
  <c r="M222" i="26" s="1"/>
  <c r="K225" i="26"/>
  <c r="L73" i="26"/>
  <c r="M72" i="26"/>
  <c r="N70" i="26" s="1"/>
  <c r="O97" i="26"/>
  <c r="M239" i="26"/>
  <c r="N246" i="26"/>
  <c r="O244" i="26" s="1"/>
  <c r="S306" i="26"/>
  <c r="O89" i="26"/>
  <c r="P96" i="26"/>
  <c r="P97" i="26" s="1"/>
  <c r="P88" i="26"/>
  <c r="P89" i="26" s="1"/>
  <c r="P18" i="26"/>
  <c r="P19" i="26" s="1"/>
  <c r="P112" i="26"/>
  <c r="P113" i="26" s="1"/>
  <c r="P34" i="26"/>
  <c r="P35" i="26" s="1"/>
  <c r="S258" i="26"/>
  <c r="N238" i="26"/>
  <c r="O236" i="26" s="1"/>
  <c r="S282" i="26"/>
  <c r="O121" i="26"/>
  <c r="O27" i="26"/>
  <c r="O19" i="26"/>
  <c r="O43" i="26"/>
  <c r="O113" i="26"/>
  <c r="O191" i="26"/>
  <c r="O105" i="26"/>
  <c r="O35" i="26"/>
  <c r="O199" i="26"/>
  <c r="O154" i="26"/>
  <c r="O138" i="26"/>
  <c r="O81" i="26"/>
  <c r="P120" i="26"/>
  <c r="P121" i="26" s="1"/>
  <c r="P26" i="26"/>
  <c r="P27" i="26" s="1"/>
  <c r="S22" i="26" s="1"/>
  <c r="E17" i="27" s="1"/>
  <c r="P42" i="26"/>
  <c r="P43" i="26" s="1"/>
  <c r="P190" i="26"/>
  <c r="P191" i="26" s="1"/>
  <c r="P104" i="26"/>
  <c r="P105" i="26" s="1"/>
  <c r="P198" i="26"/>
  <c r="P199" i="26" s="1"/>
  <c r="P153" i="26"/>
  <c r="P154" i="26" s="1"/>
  <c r="P137" i="26"/>
  <c r="P138" i="26" s="1"/>
  <c r="P80" i="26"/>
  <c r="P81" i="26" s="1"/>
  <c r="S14" i="26" l="1"/>
  <c r="L51" i="52"/>
  <c r="S51" i="52"/>
  <c r="S29" i="52"/>
  <c r="L29" i="52"/>
  <c r="E21" i="52"/>
  <c r="J21" i="52" s="1"/>
  <c r="S21" i="52" s="1"/>
  <c r="S38" i="26"/>
  <c r="E27" i="27" s="1"/>
  <c r="E30" i="27" s="1"/>
  <c r="E326" i="27" s="1"/>
  <c r="S186" i="26"/>
  <c r="S149" i="26"/>
  <c r="E105" i="27" s="1"/>
  <c r="E109" i="27" s="1"/>
  <c r="E116" i="27" s="1"/>
  <c r="S92" i="26"/>
  <c r="E69" i="27" s="1"/>
  <c r="E73" i="27" s="1"/>
  <c r="E44" i="27" s="1"/>
  <c r="S84" i="26"/>
  <c r="E63" i="27" s="1"/>
  <c r="E65" i="27" s="1"/>
  <c r="S100" i="26"/>
  <c r="E75" i="27" s="1"/>
  <c r="E78" i="27" s="1"/>
  <c r="S314" i="26"/>
  <c r="E267" i="27" s="1"/>
  <c r="S116" i="26"/>
  <c r="E87" i="27" s="1"/>
  <c r="S274" i="26"/>
  <c r="E237" i="27" s="1"/>
  <c r="E239" i="27" s="1"/>
  <c r="S133" i="26"/>
  <c r="E42" i="27" s="1"/>
  <c r="S76" i="26"/>
  <c r="E57" i="27" s="1"/>
  <c r="E60" i="27" s="1"/>
  <c r="S194" i="26"/>
  <c r="E161" i="27" s="1"/>
  <c r="E164" i="27" s="1"/>
  <c r="S290" i="26"/>
  <c r="E249" i="27" s="1"/>
  <c r="E253" i="27" s="1"/>
  <c r="E20" i="27"/>
  <c r="S30" i="26"/>
  <c r="E22" i="27" s="1"/>
  <c r="E24" i="27" s="1"/>
  <c r="E15" i="52" s="1"/>
  <c r="J15" i="52" s="1"/>
  <c r="S15" i="52" s="1"/>
  <c r="S108" i="26"/>
  <c r="E81" i="27" s="1"/>
  <c r="E83" i="27" s="1"/>
  <c r="E261" i="27"/>
  <c r="M224" i="26"/>
  <c r="N222" i="26" s="1"/>
  <c r="L225" i="26"/>
  <c r="E53" i="27"/>
  <c r="E304" i="27"/>
  <c r="M73" i="26"/>
  <c r="N72" i="26"/>
  <c r="O70" i="26" s="1"/>
  <c r="E257" i="27"/>
  <c r="E243" i="27"/>
  <c r="E245" i="27" s="1"/>
  <c r="E259" i="27"/>
  <c r="N239" i="26"/>
  <c r="N247" i="26"/>
  <c r="O246" i="26"/>
  <c r="P244" i="26" s="1"/>
  <c r="O238" i="26"/>
  <c r="P236" i="26" s="1"/>
  <c r="E147" i="27" l="1"/>
  <c r="E151" i="27" s="1"/>
  <c r="E158" i="27" s="1"/>
  <c r="E352" i="27" s="1"/>
  <c r="T51" i="52"/>
  <c r="T29" i="52"/>
  <c r="E307" i="27"/>
  <c r="E306" i="27"/>
  <c r="E91" i="27"/>
  <c r="E271" i="27"/>
  <c r="K15" i="52"/>
  <c r="L15" i="52" s="1"/>
  <c r="T15" i="52"/>
  <c r="U15" i="52" s="1"/>
  <c r="E263" i="27"/>
  <c r="E265" i="27"/>
  <c r="E264" i="27"/>
  <c r="E89" i="27"/>
  <c r="E165" i="27"/>
  <c r="E172" i="27" s="1"/>
  <c r="N224" i="26"/>
  <c r="O222" i="26" s="1"/>
  <c r="M225" i="26"/>
  <c r="E163" i="27"/>
  <c r="E168" i="27" s="1"/>
  <c r="E12" i="27"/>
  <c r="E15" i="27" s="1"/>
  <c r="E19" i="27"/>
  <c r="E14" i="52" s="1"/>
  <c r="E252" i="27"/>
  <c r="E240" i="27"/>
  <c r="E269" i="27"/>
  <c r="E90" i="27"/>
  <c r="E72" i="27"/>
  <c r="E241" i="27"/>
  <c r="E29" i="27"/>
  <c r="E59" i="27"/>
  <c r="E66" i="27"/>
  <c r="E107" i="27"/>
  <c r="E112" i="27" s="1"/>
  <c r="E247" i="27"/>
  <c r="E71" i="27"/>
  <c r="E84" i="27"/>
  <c r="E251" i="27"/>
  <c r="E108" i="27"/>
  <c r="E115" i="27" s="1"/>
  <c r="E25" i="27"/>
  <c r="E246" i="27"/>
  <c r="E270" i="27"/>
  <c r="O72" i="26"/>
  <c r="P70" i="26" s="1"/>
  <c r="P72" i="26" s="1"/>
  <c r="P73" i="26" s="1"/>
  <c r="E77" i="27"/>
  <c r="N73" i="26"/>
  <c r="O247" i="26"/>
  <c r="S266" i="26"/>
  <c r="P246" i="26"/>
  <c r="P247" i="26" s="1"/>
  <c r="P238" i="26"/>
  <c r="P239" i="26" s="1"/>
  <c r="E170" i="27"/>
  <c r="E171" i="27"/>
  <c r="O239" i="26"/>
  <c r="J14" i="52" l="1"/>
  <c r="S14" i="52" s="1"/>
  <c r="E54" i="52"/>
  <c r="J54" i="52" s="1"/>
  <c r="E52" i="52"/>
  <c r="E150" i="27"/>
  <c r="E156" i="27" s="1"/>
  <c r="E48" i="52" s="1"/>
  <c r="J48" i="52" s="1"/>
  <c r="S48" i="52" s="1"/>
  <c r="T48" i="52" s="1"/>
  <c r="U48" i="52" s="1"/>
  <c r="E149" i="27"/>
  <c r="E324" i="27"/>
  <c r="J31" i="52"/>
  <c r="E349" i="27"/>
  <c r="U51" i="52"/>
  <c r="E317" i="27"/>
  <c r="E18" i="52"/>
  <c r="J18" i="52" s="1"/>
  <c r="S18" i="52" s="1"/>
  <c r="E341" i="27"/>
  <c r="J53" i="52"/>
  <c r="U29" i="52"/>
  <c r="E333" i="27"/>
  <c r="S242" i="26"/>
  <c r="E228" i="27" s="1"/>
  <c r="S234" i="26"/>
  <c r="E14" i="27"/>
  <c r="E167" i="27"/>
  <c r="E45" i="27"/>
  <c r="E103" i="27"/>
  <c r="E44" i="52"/>
  <c r="J44" i="52" s="1"/>
  <c r="S44" i="52" s="1"/>
  <c r="K21" i="52"/>
  <c r="E231" i="27"/>
  <c r="E298" i="27" s="1"/>
  <c r="O224" i="26"/>
  <c r="P222" i="26" s="1"/>
  <c r="P224" i="26" s="1"/>
  <c r="P225" i="26" s="1"/>
  <c r="N225" i="26"/>
  <c r="E325" i="27"/>
  <c r="S250" i="26"/>
  <c r="E114" i="27"/>
  <c r="E111" i="27"/>
  <c r="E25" i="52" s="1"/>
  <c r="O73" i="26"/>
  <c r="S68" i="26" s="1"/>
  <c r="E336" i="27" l="1"/>
  <c r="E30" i="52"/>
  <c r="E32" i="52"/>
  <c r="J32" i="52" s="1"/>
  <c r="E157" i="27"/>
  <c r="E344" i="27" s="1"/>
  <c r="E153" i="27"/>
  <c r="E26" i="52" s="1"/>
  <c r="J26" i="52" s="1"/>
  <c r="S26" i="52" s="1"/>
  <c r="T26" i="52" s="1"/>
  <c r="U26" i="52" s="1"/>
  <c r="E154" i="27"/>
  <c r="E328" i="27" s="1"/>
  <c r="E47" i="52"/>
  <c r="J52" i="52"/>
  <c r="J55" i="52" s="1"/>
  <c r="E55" i="52"/>
  <c r="K53" i="52"/>
  <c r="L53" i="52" s="1"/>
  <c r="S53" i="52"/>
  <c r="T53" i="52" s="1"/>
  <c r="U53" i="52" s="1"/>
  <c r="K31" i="52"/>
  <c r="L31" i="52" s="1"/>
  <c r="S31" i="52"/>
  <c r="T31" i="52" s="1"/>
  <c r="U31" i="52" s="1"/>
  <c r="K54" i="52"/>
  <c r="L54" i="52" s="1"/>
  <c r="S54" i="52"/>
  <c r="T54" i="52" s="1"/>
  <c r="U54" i="52" s="1"/>
  <c r="K48" i="52"/>
  <c r="L48" i="52" s="1"/>
  <c r="E315" i="27"/>
  <c r="E13" i="52"/>
  <c r="J13" i="52" s="1"/>
  <c r="E316" i="27"/>
  <c r="T44" i="52"/>
  <c r="U44" i="52" s="1"/>
  <c r="K44" i="52"/>
  <c r="L44" i="52" s="1"/>
  <c r="E46" i="27"/>
  <c r="J25" i="52"/>
  <c r="S25" i="52" s="1"/>
  <c r="K14" i="52"/>
  <c r="L14" i="52" s="1"/>
  <c r="T14" i="52"/>
  <c r="U14" i="52" s="1"/>
  <c r="L21" i="52"/>
  <c r="K18" i="52"/>
  <c r="L18" i="52" s="1"/>
  <c r="T18" i="52"/>
  <c r="U18" i="52" s="1"/>
  <c r="T21" i="52"/>
  <c r="E234" i="27"/>
  <c r="E235" i="27"/>
  <c r="E351" i="27" s="1"/>
  <c r="E233" i="27"/>
  <c r="E225" i="27"/>
  <c r="S216" i="26"/>
  <c r="O225" i="26"/>
  <c r="S220" i="26" s="1"/>
  <c r="S347" i="26" s="1"/>
  <c r="E39" i="27"/>
  <c r="E222" i="27"/>
  <c r="E42" i="52" s="1"/>
  <c r="J42" i="52" s="1"/>
  <c r="S42" i="52" s="1"/>
  <c r="E33" i="52" l="1"/>
  <c r="K13" i="52"/>
  <c r="L13" i="52" s="1"/>
  <c r="S32" i="52"/>
  <c r="T32" i="52" s="1"/>
  <c r="U32" i="52" s="1"/>
  <c r="K32" i="52"/>
  <c r="L32" i="52" s="1"/>
  <c r="K26" i="52"/>
  <c r="L26" i="52" s="1"/>
  <c r="K52" i="52"/>
  <c r="L52" i="52" s="1"/>
  <c r="L55" i="52" s="1"/>
  <c r="E319" i="27"/>
  <c r="S52" i="52"/>
  <c r="S55" i="52" s="1"/>
  <c r="E301" i="27"/>
  <c r="E343" i="27"/>
  <c r="E300" i="27"/>
  <c r="E43" i="52" s="1"/>
  <c r="E335" i="27"/>
  <c r="J30" i="52"/>
  <c r="E49" i="52"/>
  <c r="J47" i="52"/>
  <c r="S47" i="52" s="1"/>
  <c r="E16" i="52"/>
  <c r="I16" i="52"/>
  <c r="E47" i="27"/>
  <c r="E313" i="27" s="1"/>
  <c r="E48" i="27"/>
  <c r="E322" i="27" s="1"/>
  <c r="R16" i="52"/>
  <c r="I49" i="52"/>
  <c r="E27" i="52"/>
  <c r="U21" i="52"/>
  <c r="E203" i="27"/>
  <c r="S350" i="26"/>
  <c r="S13" i="52" l="1"/>
  <c r="T13" i="52" s="1"/>
  <c r="E205" i="27"/>
  <c r="E206" i="27"/>
  <c r="E210" i="27" s="1"/>
  <c r="E347" i="27" s="1"/>
  <c r="T52" i="52"/>
  <c r="T55" i="52" s="1"/>
  <c r="K55" i="52"/>
  <c r="S30" i="52"/>
  <c r="S33" i="52" s="1"/>
  <c r="J33" i="52"/>
  <c r="J43" i="52"/>
  <c r="S43" i="52" s="1"/>
  <c r="E45" i="52"/>
  <c r="K30" i="52"/>
  <c r="E102" i="27"/>
  <c r="L16" i="52"/>
  <c r="J16" i="52"/>
  <c r="E327" i="27"/>
  <c r="E329" i="27" s="1"/>
  <c r="E318" i="27"/>
  <c r="E320" i="27" s="1"/>
  <c r="E101" i="27"/>
  <c r="E22" i="52" s="1"/>
  <c r="J22" i="52" s="1"/>
  <c r="S22" i="52" s="1"/>
  <c r="K42" i="52"/>
  <c r="L42" i="52" s="1"/>
  <c r="T42" i="52"/>
  <c r="U42" i="52" s="1"/>
  <c r="I45" i="52"/>
  <c r="I57" i="52" s="1"/>
  <c r="K47" i="52"/>
  <c r="J49" i="52"/>
  <c r="R49" i="52"/>
  <c r="I27" i="52"/>
  <c r="E350" i="27" l="1"/>
  <c r="E353" i="27" s="1"/>
  <c r="E209" i="27"/>
  <c r="E339" i="27" s="1"/>
  <c r="E208" i="27"/>
  <c r="E331" i="27" s="1"/>
  <c r="U52" i="52"/>
  <c r="U55" i="52" s="1"/>
  <c r="T30" i="52"/>
  <c r="T33" i="52" s="1"/>
  <c r="L30" i="52"/>
  <c r="L33" i="52" s="1"/>
  <c r="K33" i="52"/>
  <c r="L47" i="52"/>
  <c r="L49" i="52" s="1"/>
  <c r="K49" i="52"/>
  <c r="K16" i="52"/>
  <c r="S16" i="52"/>
  <c r="E23" i="52"/>
  <c r="E36" i="52" s="1"/>
  <c r="S49" i="52"/>
  <c r="T47" i="52"/>
  <c r="R45" i="52"/>
  <c r="R57" i="52" s="1"/>
  <c r="K43" i="52"/>
  <c r="J45" i="52"/>
  <c r="J27" i="52"/>
  <c r="K25" i="52"/>
  <c r="R27" i="52"/>
  <c r="E355" i="27" l="1"/>
  <c r="E356" i="27" s="1"/>
  <c r="E39" i="52"/>
  <c r="J39" i="52" s="1"/>
  <c r="E334" i="27"/>
  <c r="E337" i="27" s="1"/>
  <c r="E342" i="27"/>
  <c r="E345" i="27" s="1"/>
  <c r="U30" i="52"/>
  <c r="U33" i="52" s="1"/>
  <c r="L25" i="52"/>
  <c r="L27" i="52" s="1"/>
  <c r="K27" i="52"/>
  <c r="U13" i="52"/>
  <c r="T16" i="52"/>
  <c r="I23" i="52"/>
  <c r="I36" i="52" s="1"/>
  <c r="T49" i="52"/>
  <c r="U47" i="52"/>
  <c r="L43" i="52"/>
  <c r="K45" i="52"/>
  <c r="T43" i="52"/>
  <c r="S45" i="52"/>
  <c r="S27" i="52"/>
  <c r="T25" i="52"/>
  <c r="E57" i="52" l="1"/>
  <c r="S352" i="26"/>
  <c r="S39" i="52"/>
  <c r="S57" i="52" s="1"/>
  <c r="J57" i="52"/>
  <c r="U16" i="52"/>
  <c r="K22" i="52"/>
  <c r="J23" i="52"/>
  <c r="J36" i="52" s="1"/>
  <c r="R23" i="52"/>
  <c r="R36" i="52" s="1"/>
  <c r="L45" i="52"/>
  <c r="U43" i="52"/>
  <c r="T45" i="52"/>
  <c r="U49" i="52"/>
  <c r="T27" i="52"/>
  <c r="U25" i="52"/>
  <c r="K39" i="52" l="1"/>
  <c r="K57" i="52" s="1"/>
  <c r="S23" i="52"/>
  <c r="S36" i="52" s="1"/>
  <c r="T22" i="52"/>
  <c r="K23" i="52"/>
  <c r="K36" i="52" s="1"/>
  <c r="L22" i="52"/>
  <c r="U45" i="52"/>
  <c r="U27" i="52"/>
  <c r="T23" i="52" l="1"/>
  <c r="T36" i="52" s="1"/>
  <c r="U22" i="52"/>
  <c r="L39" i="52"/>
  <c r="L57" i="52" s="1"/>
  <c r="T39" i="52"/>
  <c r="T57" i="52" s="1"/>
  <c r="L23" i="52"/>
  <c r="L36" i="52" s="1"/>
  <c r="U23" i="52" l="1"/>
  <c r="U36" i="52" s="1"/>
  <c r="U39" i="52"/>
  <c r="U57" i="52" s="1"/>
</calcChain>
</file>

<file path=xl/comments1.xml><?xml version="1.0" encoding="utf-8"?>
<comments xmlns="http://schemas.openxmlformats.org/spreadsheetml/2006/main">
  <authors>
    <author>Karen Schuh</author>
  </authors>
  <commentList>
    <comment ref="C233" authorId="0" shapeId="0">
      <text>
        <r>
          <rPr>
            <b/>
            <sz val="8"/>
            <color indexed="81"/>
            <rFont val="Tahoma"/>
            <family val="2"/>
          </rPr>
          <t>Karen Schuh:</t>
        </r>
        <r>
          <rPr>
            <sz val="8"/>
            <color indexed="81"/>
            <rFont val="Tahoma"/>
            <family val="2"/>
          </rPr>
          <t xml:space="preserve">
Based on historical Analysis 
</t>
        </r>
      </text>
    </comment>
  </commentList>
</comments>
</file>

<file path=xl/comments2.xml><?xml version="1.0" encoding="utf-8"?>
<comments xmlns="http://schemas.openxmlformats.org/spreadsheetml/2006/main">
  <authors>
    <author>fzx7qm</author>
  </authors>
  <commentList>
    <comment ref="L146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per Walter Roys</t>
        </r>
      </text>
    </comment>
    <comment ref="I163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3.8M per Brian V
</t>
        </r>
      </text>
    </comment>
    <comment ref="L163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$4M per Brian V
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per steve w</t>
        </r>
      </text>
    </comment>
    <comment ref="I173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676400 per Heide E.
</t>
        </r>
      </text>
    </comment>
    <comment ref="K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  <comment ref="N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  <comment ref="Q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  <comment ref="T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</commentList>
</comments>
</file>

<file path=xl/comments3.xml><?xml version="1.0" encoding="utf-8"?>
<comments xmlns="http://schemas.openxmlformats.org/spreadsheetml/2006/main">
  <authors>
    <author>fzx7qm</author>
  </authors>
  <commentList>
    <comment ref="L146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per Walter Roys</t>
        </r>
      </text>
    </comment>
    <comment ref="I163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3.8M per Brian V
</t>
        </r>
      </text>
    </comment>
    <comment ref="L163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$4M per Brian V
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per steve w</t>
        </r>
      </text>
    </comment>
    <comment ref="I173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676400 per Heide E.
</t>
        </r>
      </text>
    </comment>
    <comment ref="K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  <comment ref="N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  <comment ref="Q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  <comment ref="T177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removed per thomas D</t>
        </r>
      </text>
    </comment>
  </commentList>
</comments>
</file>

<file path=xl/sharedStrings.xml><?xml version="1.0" encoding="utf-8"?>
<sst xmlns="http://schemas.openxmlformats.org/spreadsheetml/2006/main" count="3243" uniqueCount="514">
  <si>
    <t>System-Replace/Install Capacitor Banks</t>
  </si>
  <si>
    <t>System-Install Autotransformer Diagnostic Monitor</t>
  </si>
  <si>
    <t>System-Replace/Upgrade Voltage Regulators</t>
  </si>
  <si>
    <t>Network Transformers &amp; Network Protectors</t>
  </si>
  <si>
    <t>Enterprise Business Continuity</t>
  </si>
  <si>
    <t>Overbuilt Pipe Replacement Blanket</t>
  </si>
  <si>
    <t>Functional Plant Categories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</si>
  <si>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</si>
  <si>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</si>
  <si>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</si>
  <si>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</si>
  <si>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</si>
  <si>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</si>
  <si>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</si>
  <si>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</si>
  <si>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</si>
  <si>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</si>
  <si>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</si>
  <si>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</si>
  <si>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Hydro</t>
  </si>
  <si>
    <t>Plant Additions by Month</t>
  </si>
  <si>
    <t>Software</t>
  </si>
  <si>
    <t>ER</t>
  </si>
  <si>
    <t>Electric Revenue Blanket</t>
  </si>
  <si>
    <t>Gas Revenue Blanket</t>
  </si>
  <si>
    <t>Distribution Line Transformers</t>
  </si>
  <si>
    <t>Area Light Minor Blanket</t>
  </si>
  <si>
    <t>Power Xfmr-Distribution</t>
  </si>
  <si>
    <t>Gas Meters Minor Blanket</t>
  </si>
  <si>
    <t>Gas Regulators Minor Blanket</t>
  </si>
  <si>
    <t>Gas ERT Minor Blanket</t>
  </si>
  <si>
    <t>in (000's)</t>
  </si>
  <si>
    <t>Power Circuit Breaker</t>
  </si>
  <si>
    <t>Electric Underground Replacement</t>
  </si>
  <si>
    <t>Electric Distribution Minor Blanket</t>
  </si>
  <si>
    <t>Transmission Minor Rebuild</t>
  </si>
  <si>
    <t>Spokane Electric Network Incr Capacity</t>
  </si>
  <si>
    <t>Wood Pole Mgmt</t>
  </si>
  <si>
    <t>ER_TITLE</t>
  </si>
  <si>
    <t>WA</t>
  </si>
  <si>
    <t>AN</t>
  </si>
  <si>
    <t>AA</t>
  </si>
  <si>
    <t>Electric Meters Minor Blanket</t>
  </si>
  <si>
    <t>Street Lt Minor Blanket</t>
  </si>
  <si>
    <t>System Wood Substation Rebuilds</t>
  </si>
  <si>
    <t>Spokane-CDA 115 kV Line Relay Upgrades</t>
  </si>
  <si>
    <t>ID</t>
  </si>
  <si>
    <t>System 115kV Air Switch Upgrade</t>
  </si>
  <si>
    <t>System-Replace Obsolete Reclosers</t>
  </si>
  <si>
    <t>Tribal Permits and Settlements</t>
  </si>
  <si>
    <t>Sys-Dist Reliability-Improve Worst Fdrs</t>
  </si>
  <si>
    <t>System - Replace Substation Air Switches</t>
  </si>
  <si>
    <t>Gas Reinforce-Minor Blanket</t>
  </si>
  <si>
    <t>Replace Deteriorating Gas System</t>
  </si>
  <si>
    <t>Regulator Reliable - Blanket</t>
  </si>
  <si>
    <t>Gas Replace-St&amp;Hwy</t>
  </si>
  <si>
    <t>Cathodic Protection-Minor Blanket</t>
  </si>
  <si>
    <t>Gas Distribution Non-Revenue Blanket</t>
  </si>
  <si>
    <t>Gas Telemetry</t>
  </si>
  <si>
    <t>OR</t>
  </si>
  <si>
    <t>System Battery Replacement</t>
  </si>
  <si>
    <t>Colstrip Capital Additions</t>
  </si>
  <si>
    <t>Nine Mile Redevelopment</t>
  </si>
  <si>
    <t>Next Generation Radio System</t>
  </si>
  <si>
    <t>PCB Identification &amp; Disposal</t>
  </si>
  <si>
    <t>Clark Fork License/Compliance</t>
  </si>
  <si>
    <t>Forest Srvc Rqmts</t>
  </si>
  <si>
    <t>Clark Fork Implement PME Agreement</t>
  </si>
  <si>
    <t>Spokane River Implementation (PM&amp;E)</t>
  </si>
  <si>
    <t>Transportation Equip</t>
  </si>
  <si>
    <t>Structures &amp; Improv</t>
  </si>
  <si>
    <t>Office Furniture</t>
  </si>
  <si>
    <t>Stores Equip</t>
  </si>
  <si>
    <t>Tools Lab &amp; Shop Equipment</t>
  </si>
  <si>
    <t>WSDOT Highway Franchise Consolidation</t>
  </si>
  <si>
    <t>Appren Craft Train</t>
  </si>
  <si>
    <t>Jackson Prairie Storage</t>
  </si>
  <si>
    <t>Thermal Subtotal</t>
  </si>
  <si>
    <t>Beg Bal</t>
  </si>
  <si>
    <t>Additions</t>
  </si>
  <si>
    <t>End Bal</t>
  </si>
  <si>
    <t>Monthly Average</t>
  </si>
  <si>
    <t>AMA Calculation:</t>
  </si>
  <si>
    <t>Other Production Subtotal</t>
  </si>
  <si>
    <t>Transportation Subtotal</t>
  </si>
  <si>
    <t>Gas UG/Production Subtotal</t>
  </si>
  <si>
    <t>Electric System Totals</t>
  </si>
  <si>
    <t>Gas System Totals</t>
  </si>
  <si>
    <t>Electric &amp; Gas System Totals</t>
  </si>
  <si>
    <t>AMA</t>
  </si>
  <si>
    <t>Gas WA Distribution Subtotal</t>
  </si>
  <si>
    <t>Gas OR Distribution Subtotal</t>
  </si>
  <si>
    <t>Gas ID Distribution Subtotal</t>
  </si>
  <si>
    <t>Gas AN Distribution Subtotal</t>
  </si>
  <si>
    <t>Electric WA Distribution Subtotal</t>
  </si>
  <si>
    <t>Electric ID Distribution Subtotal</t>
  </si>
  <si>
    <t>Electric AN Distribution Subtotal</t>
  </si>
  <si>
    <t>Thermal Plant - System Total</t>
  </si>
  <si>
    <t xml:space="preserve">   </t>
  </si>
  <si>
    <t xml:space="preserve">  - Washington Electric</t>
  </si>
  <si>
    <t>Allocation</t>
  </si>
  <si>
    <t xml:space="preserve">  - Idaho Electric</t>
  </si>
  <si>
    <t>Hydro Plant - System Total</t>
  </si>
  <si>
    <t>Other Production - System Total</t>
  </si>
  <si>
    <t>Electric Transmission-System Total</t>
  </si>
  <si>
    <t>Electric AN Distribution-System Total</t>
  </si>
  <si>
    <t>Electric</t>
  </si>
  <si>
    <t>General Plant Common System Total</t>
  </si>
  <si>
    <t xml:space="preserve">  - Washington Gas</t>
  </si>
  <si>
    <t xml:space="preserve">  - Idaho Gas</t>
  </si>
  <si>
    <t xml:space="preserve">  - Oregon Gas</t>
  </si>
  <si>
    <t>Gas North</t>
  </si>
  <si>
    <t>Gas South</t>
  </si>
  <si>
    <t>Transportation Common System Total</t>
  </si>
  <si>
    <t xml:space="preserve">Gas UG/Production </t>
  </si>
  <si>
    <t>Electric ID Distribution-Total</t>
  </si>
  <si>
    <t>Electric WA Distribution-Total</t>
  </si>
  <si>
    <t>Gas WA Distribution Total</t>
  </si>
  <si>
    <t>Gas ID Distribution Total</t>
  </si>
  <si>
    <t>Gas AN Distribution Total</t>
  </si>
  <si>
    <t>Gas OR Distribution Total</t>
  </si>
  <si>
    <t>Washington Electric Totals</t>
  </si>
  <si>
    <t>Idaho Electric Totals</t>
  </si>
  <si>
    <t>Washington Gas Totals</t>
  </si>
  <si>
    <t>Idaho Gas Totals</t>
  </si>
  <si>
    <t>Oregon Gas Totals</t>
  </si>
  <si>
    <t>Grand Total</t>
  </si>
  <si>
    <t>Intangible Plant</t>
  </si>
  <si>
    <t>Production Plant</t>
  </si>
  <si>
    <t>Transmission Plant</t>
  </si>
  <si>
    <t>Distribution Plant</t>
  </si>
  <si>
    <t>General Plant</t>
  </si>
  <si>
    <t>Underground Storage Plant</t>
  </si>
  <si>
    <t>Check Total</t>
  </si>
  <si>
    <t>Total Transf</t>
  </si>
  <si>
    <t>Environ Affairs</t>
  </si>
  <si>
    <t xml:space="preserve">Hydro Generation Minor Blanket </t>
  </si>
  <si>
    <t>Gas</t>
  </si>
  <si>
    <t>Generation</t>
  </si>
  <si>
    <t>Growth</t>
  </si>
  <si>
    <t>IS/IT</t>
  </si>
  <si>
    <t>Microwave Replacement with Fiber</t>
  </si>
  <si>
    <t>Other</t>
  </si>
  <si>
    <t>Trans/Dist</t>
  </si>
  <si>
    <t>Distribution Line Relocations</t>
  </si>
  <si>
    <t>System - Rock/Fence Restore</t>
  </si>
  <si>
    <t>System - Replace Obsolete Circuit Switchers</t>
  </si>
  <si>
    <t>SCADA - Install/Replace</t>
  </si>
  <si>
    <t>System - Batteries</t>
  </si>
  <si>
    <t>System - High Voltage Fuse Upgrades</t>
  </si>
  <si>
    <t>Irvin Sub - New Construction</t>
  </si>
  <si>
    <t>Distribution - Spokane North &amp; West</t>
  </si>
  <si>
    <t>Distribution - CdA East &amp; North</t>
  </si>
  <si>
    <t>Distribution - Pullman &amp; Lewis Clark</t>
  </si>
  <si>
    <t>Gas AA Distribution: ER 3000</t>
  </si>
  <si>
    <t>Gas AA Distribution: ER 3001</t>
  </si>
  <si>
    <t>Gas AA Distribution: ER 3002</t>
  </si>
  <si>
    <t>Gas AA Distribution: ER 3003</t>
  </si>
  <si>
    <t>Gas AA Distribution: ER 3004</t>
  </si>
  <si>
    <t>Gas AA Distribution: ER 3005</t>
  </si>
  <si>
    <t>Gas AA Distribution: ER 3006</t>
  </si>
  <si>
    <t>Gas AA Distribution ER 3000</t>
  </si>
  <si>
    <t>Electric AN Distribution ER 1006</t>
  </si>
  <si>
    <t>Electric AN Distribution-ER 1006</t>
  </si>
  <si>
    <t xml:space="preserve">  (excluding ER 1006,2054,2055,2056,2059,2060,2204)</t>
  </si>
  <si>
    <t>Electric AN Distribution-ER 2054</t>
  </si>
  <si>
    <t>Electric AN Distribution-ER 2055</t>
  </si>
  <si>
    <t>Electric AN Distribution - ER 2055</t>
  </si>
  <si>
    <t>Electric AN Distribution-ER 2056</t>
  </si>
  <si>
    <t>Electric AN Distribution - ER 2056</t>
  </si>
  <si>
    <t>Electric AN Distribution-ER 2059</t>
  </si>
  <si>
    <t>Electric AN Distribution - ER 2059</t>
  </si>
  <si>
    <t>Electric AN Distribution-ER 2060</t>
  </si>
  <si>
    <t>Electric AN Distribution - ER 2204</t>
  </si>
  <si>
    <t>Electric AN Distribution-ER 2204</t>
  </si>
  <si>
    <t>ER 2056 AN</t>
  </si>
  <si>
    <t>ER 2204 AN</t>
  </si>
  <si>
    <t>Tax Rate</t>
  </si>
  <si>
    <t>1st Year Rate</t>
  </si>
  <si>
    <t>2nd Year Rate</t>
  </si>
  <si>
    <t>P/T/D</t>
  </si>
  <si>
    <t>GP</t>
  </si>
  <si>
    <t>Description</t>
  </si>
  <si>
    <t>EOP Cost</t>
  </si>
  <si>
    <t>AMA Cost</t>
  </si>
  <si>
    <t>Book Rate</t>
  </si>
  <si>
    <t>Estimated Annual Deprec Expense</t>
  </si>
  <si>
    <t>Thermal</t>
  </si>
  <si>
    <t>Hydro</t>
  </si>
  <si>
    <t>Subtotal</t>
  </si>
  <si>
    <t>Transmission</t>
  </si>
  <si>
    <t>Distribution</t>
  </si>
  <si>
    <t>Direct</t>
  </si>
  <si>
    <t>Transport.</t>
  </si>
  <si>
    <t>Electric Total</t>
  </si>
  <si>
    <t>Gas U/G Storage</t>
  </si>
  <si>
    <t>Gas Total</t>
  </si>
  <si>
    <t>Customer Information System (CIS) Replacement</t>
  </si>
  <si>
    <t>System - Replace/Install Relays</t>
  </si>
  <si>
    <t>System Transmission:Rebuild Condition</t>
  </si>
  <si>
    <t>Greenacres 115-13kV Sub - New Construct</t>
  </si>
  <si>
    <t>ED</t>
  </si>
  <si>
    <t>GD</t>
  </si>
  <si>
    <t>CD</t>
  </si>
  <si>
    <t>Isolated Steel Replacement</t>
  </si>
  <si>
    <t>Aldyl -A Pipe Replacement</t>
  </si>
  <si>
    <t>Base Hydro</t>
  </si>
  <si>
    <t>Regulating Hydro</t>
  </si>
  <si>
    <t>Base Load Thermal</t>
  </si>
  <si>
    <t>Peaking Generation</t>
  </si>
  <si>
    <t>Little Falls Powerhouse Redevelopment</t>
  </si>
  <si>
    <t>Information Technology Refresh Program</t>
  </si>
  <si>
    <t>Information Technology Expansion Program</t>
  </si>
  <si>
    <t>High Voltage Protection Upgrade</t>
  </si>
  <si>
    <t>Electric Transmission Plant-Storm</t>
  </si>
  <si>
    <t>Failed Electric Dist Plant-Storm</t>
  </si>
  <si>
    <t>Metro FDR Upgrade</t>
  </si>
  <si>
    <t>System - Replace Dist Power Xfmrs</t>
  </si>
  <si>
    <t>Burke-Thompson A&amp;B 115kV Transmission Rebuld Proj</t>
  </si>
  <si>
    <t>Opportunity 115 kV Switching Station</t>
  </si>
  <si>
    <t>Electric AN Distribution-ER 2535</t>
  </si>
  <si>
    <t>Gas AA Distribution: ER 3007</t>
  </si>
  <si>
    <t>Gas AA Distribution: ER 3008</t>
  </si>
  <si>
    <t>3rd Year Rate</t>
  </si>
  <si>
    <t>per Gas Eng Est of work by state</t>
  </si>
  <si>
    <t>Electric AN Distribution - ER 2060/1003</t>
  </si>
  <si>
    <t>Mobility in the Field</t>
  </si>
  <si>
    <t>CNG Fleet Conversion</t>
  </si>
  <si>
    <t>Elec Distribution 360-373</t>
  </si>
  <si>
    <t>Hydro 331-336</t>
  </si>
  <si>
    <t>Elec Transmission 350-359</t>
  </si>
  <si>
    <t>Gas Distribution 374-387</t>
  </si>
  <si>
    <t>Other Elec Production / Turbines 340-346</t>
  </si>
  <si>
    <t>Thermal 311-316</t>
  </si>
  <si>
    <t>Software 303</t>
  </si>
  <si>
    <t>Security Systems</t>
  </si>
  <si>
    <t>General 389-391 / 393-395 / 397-398</t>
  </si>
  <si>
    <t>AU.com &amp; AVANet Redevelopment</t>
  </si>
  <si>
    <t>Transportation and Tools 392 / 396</t>
  </si>
  <si>
    <t xml:space="preserve">Long term Campus Re-Structuring Plan </t>
  </si>
  <si>
    <t>Gas Underground Storage 350-357</t>
  </si>
  <si>
    <t>System - Replace High Voltage Breakers</t>
  </si>
  <si>
    <t>System - Upgrade Meters</t>
  </si>
  <si>
    <t>Distribution Line Protection</t>
  </si>
  <si>
    <t>SCADA Upgrade</t>
  </si>
  <si>
    <t>Devils Gap-Lind 115kV Transmission Rebuild Proj</t>
  </si>
  <si>
    <t>Accumulated Depreciation</t>
  </si>
  <si>
    <t>Tax Depreciation</t>
  </si>
  <si>
    <t>Accumualted DFIT</t>
  </si>
  <si>
    <t>12.31.14</t>
  </si>
  <si>
    <t>12.31.15</t>
  </si>
  <si>
    <t>12.31.16</t>
  </si>
  <si>
    <t>EOP</t>
  </si>
  <si>
    <t xml:space="preserve">AMA </t>
  </si>
  <si>
    <t>Gas AA Distribution Total</t>
  </si>
  <si>
    <t>Alloc</t>
  </si>
  <si>
    <t>TOTAL</t>
  </si>
  <si>
    <t>Number of Cust</t>
  </si>
  <si>
    <t>Distr Op Exp</t>
  </si>
  <si>
    <t>Four Factor</t>
  </si>
  <si>
    <t>Therms Purchased</t>
  </si>
  <si>
    <t>Throughput</t>
  </si>
  <si>
    <t>System Contract Demand</t>
  </si>
  <si>
    <t>P/T Ratio</t>
  </si>
  <si>
    <t>4-Factor</t>
  </si>
  <si>
    <t xml:space="preserve">Allocation Factors Electric </t>
  </si>
  <si>
    <t>Allocation Factors Gas</t>
  </si>
  <si>
    <t>Net Electric Distribution Plant</t>
  </si>
  <si>
    <t>AN Allocation</t>
  </si>
  <si>
    <t>CD AA  Allocation</t>
  </si>
  <si>
    <t>Business Case</t>
  </si>
  <si>
    <t>Electric AN Distribution - ER 2535 &amp; 6000</t>
  </si>
  <si>
    <t>Software AA Common  All Other Total</t>
  </si>
  <si>
    <t>Software  AA  All Other Subtotal</t>
  </si>
  <si>
    <t>Software  AA Subtotal - Compass ER 5138</t>
  </si>
  <si>
    <t>BUDGET_CATEGORY</t>
  </si>
  <si>
    <t>Programs</t>
  </si>
  <si>
    <t>Mandated</t>
  </si>
  <si>
    <t>Projects</t>
  </si>
  <si>
    <t>Harrington Conversion to 13 kV</t>
  </si>
  <si>
    <t>Benton-Othello 115 Recond</t>
  </si>
  <si>
    <t>TCOP Related Distribution Rebuilds</t>
  </si>
  <si>
    <t>Sandpoint Grid Modernization Project</t>
  </si>
  <si>
    <t>Clearwater 115 kV Substation Upgrades</t>
  </si>
  <si>
    <t>Little Fall 115 kV Sub - Rebuild</t>
  </si>
  <si>
    <t>Low Priority Ratings Mitigation</t>
  </si>
  <si>
    <t>Medium Priority Ratings Mitigation</t>
  </si>
  <si>
    <t>Maintenance</t>
  </si>
  <si>
    <t>Long Lake HED Replace Field Windings</t>
  </si>
  <si>
    <t>Gas Underground Storage 350-357 Total</t>
  </si>
  <si>
    <t>Hydro 331-336 Total</t>
  </si>
  <si>
    <t>Other Elec Production / Turbines 340-346 Total</t>
  </si>
  <si>
    <t>Thermal 311-316 Total</t>
  </si>
  <si>
    <t>Transportation and Tools 392 / 396 Total</t>
  </si>
  <si>
    <t>AN Total</t>
  </si>
  <si>
    <t>ID Total</t>
  </si>
  <si>
    <t>WA Total</t>
  </si>
  <si>
    <t>AA Total</t>
  </si>
  <si>
    <t>OR Total</t>
  </si>
  <si>
    <t>Gas AA Distribution: ER 3055</t>
  </si>
  <si>
    <t>Gas AA Subtotal</t>
  </si>
  <si>
    <t xml:space="preserve">Gas AA Distribution </t>
  </si>
  <si>
    <t xml:space="preserve">Pro Forma Adjustment Calculation- WA </t>
  </si>
  <si>
    <t>COF HVAC Improvmt</t>
  </si>
  <si>
    <t>Electric Transmission AN Subtotal</t>
  </si>
  <si>
    <t>Electric Transmission ID Subtotal</t>
  </si>
  <si>
    <t>Electric Transmission WA Subtotal</t>
  </si>
  <si>
    <t>General Plant ED AN Subtotal</t>
  </si>
  <si>
    <t>Electric Transmission-System Direct WA and ID</t>
  </si>
  <si>
    <t>12.31.17</t>
  </si>
  <si>
    <t>Test Year Ended September 30, 2014 Ratebase Adjusted to 12/31/16 AMA</t>
  </si>
  <si>
    <t>FUNCTION_CODE</t>
  </si>
  <si>
    <t>STATE_CODE</t>
  </si>
  <si>
    <t>SERVICE_CODE</t>
  </si>
  <si>
    <t>DEPRECIATION_CATEGORY</t>
  </si>
  <si>
    <t>Environmental Compliance Blanket</t>
  </si>
  <si>
    <t>Gas ERT Replacement Program</t>
  </si>
  <si>
    <t>Gas Meter Replacement Non Revenue</t>
  </si>
  <si>
    <t>Gas HP Pipeline Remediation Program</t>
  </si>
  <si>
    <t>East Medford Reinforcement</t>
  </si>
  <si>
    <t>Elgin Line HP Reinforcement</t>
  </si>
  <si>
    <t>US2 N Spo Gas HP Reinforce(Kaiser Prop)</t>
  </si>
  <si>
    <t>Rathdrum Prairie HP Gas Reinforcement</t>
  </si>
  <si>
    <t>Spokane St Bridge Gas Main</t>
  </si>
  <si>
    <t>Goldendale HP</t>
  </si>
  <si>
    <t>Bonanza Gate Stn Move</t>
  </si>
  <si>
    <t>CS2 LTSA Capital Add</t>
  </si>
  <si>
    <t>CS2 LTSA Cash Accrual</t>
  </si>
  <si>
    <t>CG HED U#1 Refurbishment</t>
  </si>
  <si>
    <t>PF S Channel Gate Replacement</t>
  </si>
  <si>
    <t>CG HED Automation Replacement</t>
  </si>
  <si>
    <t>Long Lake Plant Upgrades</t>
  </si>
  <si>
    <t>KFGS Ash Collector</t>
  </si>
  <si>
    <t>2019 Peaking Resource</t>
  </si>
  <si>
    <t>Noxon Station Service</t>
  </si>
  <si>
    <t>Computer Access for All Employees</t>
  </si>
  <si>
    <t>AFM COTS Migration</t>
  </si>
  <si>
    <t>Financial Forecast Model</t>
  </si>
  <si>
    <t>AMR Web Presentment</t>
  </si>
  <si>
    <t>Office Mach &amp; Equiq</t>
  </si>
  <si>
    <t>Strategic Initiatives</t>
  </si>
  <si>
    <t>Strategic</t>
  </si>
  <si>
    <t>COF Long Term Restructuring Plan Phase 2</t>
  </si>
  <si>
    <t>Dollar Rd Service Center Addition and Remodel</t>
  </si>
  <si>
    <t>Deer Park Service Center</t>
  </si>
  <si>
    <t>Sandpoint Service Center</t>
  </si>
  <si>
    <t>Power Xfmr-Transmission</t>
  </si>
  <si>
    <t>WSDOT Franchise Requirements Construction</t>
  </si>
  <si>
    <t>Elec Meter Replacement Non Revenue</t>
  </si>
  <si>
    <t>Colstrip Transmission Capital Additions</t>
  </si>
  <si>
    <t>Tamarack 115Kv Sub-Construction</t>
  </si>
  <si>
    <t>West Plains Transmission Reinforce</t>
  </si>
  <si>
    <t>Lyons &amp; Standard 115 Sub-Incr Capacity</t>
  </si>
  <si>
    <t>Ninth &amp; Central Sub - Increase Capacity &amp; Rebuild</t>
  </si>
  <si>
    <t>Dist Grid Modernization</t>
  </si>
  <si>
    <t>Beacon-Boulder #2 115:  Capacity Upgrade</t>
  </si>
  <si>
    <t>N. Moscow - Increase Capacity</t>
  </si>
  <si>
    <t>Westside 230 kV Substation - Rebuild</t>
  </si>
  <si>
    <t>Noxon 230 kV Substation - Rebuild</t>
  </si>
  <si>
    <t>CDA-Pine Creek 115kV Transmission Line: Rebuild</t>
  </si>
  <si>
    <t>9CE-Sunset 115kV Transmission Line: Rebuild</t>
  </si>
  <si>
    <t>Northwest 115 kV - Rebuild Substation</t>
  </si>
  <si>
    <t>Chester 115 kV - Rebuild Substation</t>
  </si>
  <si>
    <t>Gifford 115 kV - Rebuild Substation</t>
  </si>
  <si>
    <t>Benewah-Moscow 230kV - Structure Replacement</t>
  </si>
  <si>
    <t>South Region Transmission Voltage Control</t>
  </si>
  <si>
    <t>Street Light Conversion to LED Fixtures</t>
  </si>
  <si>
    <t>Customer Prepay</t>
  </si>
  <si>
    <t>Deer Park 115 kV Substation - Minor Rebuild</t>
  </si>
  <si>
    <t>Wa St Park Utility Use Agreement</t>
  </si>
  <si>
    <t>Total TTP</t>
  </si>
  <si>
    <t>Offset to budget</t>
  </si>
  <si>
    <t>Total revised budget</t>
  </si>
  <si>
    <t>Portion of  Revenue ER's  not included above:</t>
  </si>
  <si>
    <t>Revenue ER's Not included above:</t>
  </si>
  <si>
    <t xml:space="preserve">Total (Gross) Revenue ER's included above: </t>
  </si>
  <si>
    <t>Growth vs. Non Growth %</t>
  </si>
  <si>
    <t xml:space="preserve">Total Budget excluding New Revenue: </t>
  </si>
  <si>
    <t>Electric AN Distribution</t>
  </si>
  <si>
    <t>General Plant AA Subtotal</t>
  </si>
  <si>
    <t>Software  ID Subtotal</t>
  </si>
  <si>
    <t>General Plant CD WA Subtotal</t>
  </si>
  <si>
    <t>General Plant CD ID Subtotal</t>
  </si>
  <si>
    <t>General Plant CD AN Subtotal</t>
  </si>
  <si>
    <t>Total Budget Recon</t>
  </si>
  <si>
    <t>Software ID Common Total</t>
  </si>
  <si>
    <t>2015 Non-Revenue Plant Additions on an Allocated Basis:</t>
  </si>
  <si>
    <t>General Plant Common System Total ED AN</t>
  </si>
  <si>
    <t>General Plant Common System Total CD WA</t>
  </si>
  <si>
    <t>General Plant Common System Total CD AN</t>
  </si>
  <si>
    <t xml:space="preserve">Compass-Hardware </t>
  </si>
  <si>
    <t xml:space="preserve">Compass-Software </t>
  </si>
  <si>
    <t xml:space="preserve">Hardware </t>
  </si>
  <si>
    <t xml:space="preserve">Compass-Hardware  </t>
  </si>
  <si>
    <t>Compass- Software</t>
  </si>
  <si>
    <t>Hardware</t>
  </si>
  <si>
    <t xml:space="preserve">Software </t>
  </si>
  <si>
    <t>Transport. &amp; Hardware</t>
  </si>
  <si>
    <t>CAP14.1</t>
  </si>
  <si>
    <t>CAP15.1</t>
  </si>
  <si>
    <t xml:space="preserve">E-CAP SUMMARY </t>
  </si>
  <si>
    <t xml:space="preserve">G-CAP SUMMARY </t>
  </si>
  <si>
    <t>Total IT</t>
  </si>
  <si>
    <t>CAP15.2</t>
  </si>
  <si>
    <t>CAP15</t>
  </si>
  <si>
    <t>CAP14.3</t>
  </si>
  <si>
    <t xml:space="preserve">Software AA Common Compass - ER 5138 - Hardware </t>
  </si>
  <si>
    <t>New Revenue - Growth</t>
  </si>
  <si>
    <t>Substation - Capital Spares</t>
  </si>
  <si>
    <t>Primary URD Cable Replacement</t>
  </si>
  <si>
    <t>Distribution Minor Rebuild</t>
  </si>
  <si>
    <t>Elec Replacement/Relocation</t>
  </si>
  <si>
    <t>Storms</t>
  </si>
  <si>
    <t>Distribution Wood Pole Management</t>
  </si>
  <si>
    <t>Meter Minor Blanket</t>
  </si>
  <si>
    <t>Substation - Distribution Station Rebuilds</t>
  </si>
  <si>
    <t>Substation - Asset Mgmt. Capital Maintenance</t>
  </si>
  <si>
    <t>Worst Feeders</t>
  </si>
  <si>
    <t>Transmission - Reconductors and Rebuilds</t>
  </si>
  <si>
    <t>Segment Reconductor and FDR Tie Program</t>
  </si>
  <si>
    <t>Distribution Transformer Change-Out Program</t>
  </si>
  <si>
    <t>Street Light Management</t>
  </si>
  <si>
    <t>Environmental Compliance</t>
  </si>
  <si>
    <t>Spokane Electric Network</t>
  </si>
  <si>
    <t>Harrington Upgrades</t>
  </si>
  <si>
    <t>Substation - New Distribution Stations</t>
  </si>
  <si>
    <t>Franchising for WSDOT</t>
  </si>
  <si>
    <t>Transmission - Asset Management</t>
  </si>
  <si>
    <t>Colstrip Transmission</t>
  </si>
  <si>
    <t>Substation - 115 kV Line Relay Upgrades</t>
  </si>
  <si>
    <t>Spokane Valley Transmission Reinforcement</t>
  </si>
  <si>
    <t>Westside Rebuild Phase One</t>
  </si>
  <si>
    <t>Noxon Switchyard Rebuild</t>
  </si>
  <si>
    <t>Clearwater Sub Upgrades</t>
  </si>
  <si>
    <t>Transmission - NERC Low Priority Mitigation</t>
  </si>
  <si>
    <t>Transmission - NERC Medium Priority Mitigation</t>
  </si>
  <si>
    <t>S Region Voltage Control</t>
  </si>
  <si>
    <t>Gas Reinforcement Program</t>
  </si>
  <si>
    <t>Gas Deteriorated Steel Pipe Replacement Program</t>
  </si>
  <si>
    <t>Gas Regulator Stn Replacement Program</t>
  </si>
  <si>
    <t>Gas Replacement Street and Highway Program</t>
  </si>
  <si>
    <t>Gas Cathodic Protection Program</t>
  </si>
  <si>
    <t>Gas Non-Revenue Program</t>
  </si>
  <si>
    <t>Gas Overbuilt Pipe Replacement Program</t>
  </si>
  <si>
    <t>Gas Isolated Steel Replacement Program</t>
  </si>
  <si>
    <t>Aldyl A Replacement</t>
  </si>
  <si>
    <t>Gas PMC Program</t>
  </si>
  <si>
    <t>Gas Telemetry Program</t>
  </si>
  <si>
    <t>Gas Rathdrum Prairie HP Main Reinforcement Project</t>
  </si>
  <si>
    <t>Gas Spokane St Bridge IP Main Project</t>
  </si>
  <si>
    <t>Gas East Medford HP Main Reinforcement Project</t>
  </si>
  <si>
    <t>Gas Elgin 6" HP Main Reinforcement</t>
  </si>
  <si>
    <t>Gas Bonanza Gate Stn Project</t>
  </si>
  <si>
    <t>Gas N Spokane Hwy 2 HP Main Reinforcement Project</t>
  </si>
  <si>
    <t>Gas Goldendale HP Main Reinforcement Project</t>
  </si>
  <si>
    <t>SCADA - SOO &amp; BUCC</t>
  </si>
  <si>
    <t>Enterprise Security</t>
  </si>
  <si>
    <t>Microwave Refresh</t>
  </si>
  <si>
    <t>Retracted</t>
  </si>
  <si>
    <t>Structures and Improvements/Furniture</t>
  </si>
  <si>
    <t>Capital Tools &amp; Stores Equipment</t>
  </si>
  <si>
    <t>HVAC Renovation Project</t>
  </si>
  <si>
    <t>COF Long-Term Restructuring Plan</t>
  </si>
  <si>
    <t>COF LngTrm Restruct Ph2</t>
  </si>
  <si>
    <t>Next Generation Radio Refresh</t>
  </si>
  <si>
    <t>Sandpoint Renovation</t>
  </si>
  <si>
    <t>Wa State Park &amp; Rec Utility Use Agreement</t>
  </si>
  <si>
    <t>New Deer Park Service Center</t>
  </si>
  <si>
    <t>High Voltage Protection for Substations</t>
  </si>
  <si>
    <t>Generation Battery Replacement</t>
  </si>
  <si>
    <t>Nine Mile Rehab</t>
  </si>
  <si>
    <t>Base Load Hydro</t>
  </si>
  <si>
    <t>Little Falls Plant Upgrade</t>
  </si>
  <si>
    <t>Cabinet Gorge Unit 1 Refurbishment</t>
  </si>
  <si>
    <t>Post Falls South Channel Replacement</t>
  </si>
  <si>
    <t>Cabinet Gorge Automation Replacement</t>
  </si>
  <si>
    <t>Long Lake Replace Field Windings</t>
  </si>
  <si>
    <t>Hydro Safety Minor Blanket</t>
  </si>
  <si>
    <t>Clark Fork Settlement Agreement</t>
  </si>
  <si>
    <t>Spokane River License Implementation</t>
  </si>
  <si>
    <t>Coyote Springs LTSA</t>
  </si>
  <si>
    <t>Base Load Thermal Plant</t>
  </si>
  <si>
    <t>Technology Refresh to Sustain Business Process</t>
  </si>
  <si>
    <t>Technology Expansion to Enable Business Process</t>
  </si>
  <si>
    <t>Enterprise Business Continuity Plan</t>
  </si>
  <si>
    <t>CSS Replacement</t>
  </si>
  <si>
    <t>AvistaUtilities.com Redesign</t>
  </si>
  <si>
    <t>Apprentice Training</t>
  </si>
  <si>
    <t>Colstrip Thermal Capital</t>
  </si>
  <si>
    <t>Fleet Budget</t>
  </si>
  <si>
    <t>Source:  E-ALL-12A - 9.30.14</t>
  </si>
  <si>
    <t>Source:  G-ALL-12A - 9.30.14</t>
  </si>
  <si>
    <t>Noxon Spare Coils</t>
  </si>
  <si>
    <t>Noxon Rapids HED Spare Coils</t>
  </si>
  <si>
    <t>Remove AMI and move to 2016</t>
  </si>
  <si>
    <t xml:space="preserve">Known Chgs </t>
  </si>
  <si>
    <t>WA elec</t>
  </si>
  <si>
    <t>WA gas</t>
  </si>
  <si>
    <t>Used to allocate GD AA</t>
  </si>
  <si>
    <t>Used to allocate CD AA</t>
  </si>
  <si>
    <t>Used to allocate CD AN</t>
  </si>
  <si>
    <t>Production/transmission factor</t>
  </si>
  <si>
    <t>Revenues, other costs, and rate base</t>
  </si>
  <si>
    <t>Elec alloc</t>
  </si>
  <si>
    <t>Gas alloc</t>
  </si>
  <si>
    <t>Major projects, per 480-140-40</t>
  </si>
  <si>
    <t>Electric ($)</t>
  </si>
  <si>
    <t>Gas ($)</t>
  </si>
  <si>
    <t>Net Plant in Service, EOP 2014</t>
  </si>
  <si>
    <t>Source</t>
  </si>
  <si>
    <t>2014 CBR</t>
  </si>
  <si>
    <t>0.5% of EOP 2014 net plant</t>
  </si>
  <si>
    <t>WA major elec</t>
  </si>
  <si>
    <t>WA major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</si>
</sst>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_(* #,##0_);_(* \(#,##0\);_(* &quot;-&quot;??_);_(@_)"/>
    <numFmt numFmtId="166" formatCode="0.000%"/>
    <numFmt numFmtId="167" formatCode="#,##0.00000"/>
    <numFmt numFmtId="168" formatCode="#,##0.00;[Red]\(#,##0.00\)"/>
    <numFmt numFmtId="169" formatCode="&quot;$&quot;#,##0"/>
    <numFmt numFmtId="170" formatCode="_(&quot;$&quot;* #,##0_);_(&quot;$&quot;* \(#,##0\);_(&quot;$&quot;* &quot;-&quot;??_);_(@_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name val="Tahoma "/>
    </font>
    <font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sz val="10"/>
      <name val="Geneva"/>
    </font>
    <font>
      <u/>
      <sz val="10"/>
      <name val="Tahoma"/>
      <family val="2"/>
    </font>
    <font>
      <sz val="10"/>
      <color indexed="12"/>
      <name val="Tahoma"/>
      <family val="2"/>
    </font>
    <font>
      <sz val="10"/>
      <color rgb="FF0070C0"/>
      <name val="Tahoma"/>
      <family val="2"/>
    </font>
    <font>
      <b/>
      <sz val="10"/>
      <color indexed="8"/>
      <name val="Tahoma"/>
      <family val="2"/>
    </font>
    <font>
      <sz val="12"/>
      <name val="Tahoma "/>
    </font>
    <font>
      <b/>
      <sz val="12"/>
      <color indexed="8"/>
      <name val="Tahoma "/>
    </font>
    <font>
      <b/>
      <sz val="12"/>
      <name val="Tahoma "/>
    </font>
    <font>
      <sz val="12"/>
      <color theme="1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b/>
      <u/>
      <sz val="12"/>
      <name val="Tahoma "/>
    </font>
    <font>
      <b/>
      <i/>
      <sz val="12"/>
      <color indexed="8"/>
      <name val="Tahoma "/>
    </font>
    <font>
      <b/>
      <i/>
      <sz val="12"/>
      <name val="Tahoma "/>
    </font>
    <font>
      <b/>
      <sz val="8"/>
      <color rgb="FFFF0000"/>
      <name val="Tahoma "/>
    </font>
    <font>
      <b/>
      <sz val="10"/>
      <color rgb="FFFF0000"/>
      <name val="Tahoma"/>
      <family val="2"/>
    </font>
    <font>
      <b/>
      <sz val="8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Tahoma "/>
    </font>
    <font>
      <sz val="12"/>
      <color theme="1"/>
      <name val="Tahoma "/>
    </font>
    <font>
      <b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168" fontId="12" fillId="3" borderId="0" applyBorder="0">
      <alignment horizontal="right"/>
    </xf>
    <xf numFmtId="0" fontId="13" fillId="4" borderId="0" applyBorder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0" fontId="1" fillId="0" borderId="0"/>
    <xf numFmtId="0" fontId="5" fillId="0" borderId="0"/>
    <xf numFmtId="44" fontId="5" fillId="0" borderId="0" applyFont="0" applyFill="0" applyBorder="0" applyAlignment="0" applyProtection="0"/>
  </cellStyleXfs>
  <cellXfs count="230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1" fillId="0" borderId="0" xfId="0" applyFont="1" applyFill="1"/>
    <xf numFmtId="0" fontId="11" fillId="0" borderId="0" xfId="0" applyFont="1" applyFill="1" applyBorder="1"/>
    <xf numFmtId="0" fontId="17" fillId="0" borderId="0" xfId="19" applyFont="1"/>
    <xf numFmtId="0" fontId="17" fillId="0" borderId="0" xfId="19" applyFont="1" applyBorder="1"/>
    <xf numFmtId="0" fontId="17" fillId="0" borderId="0" xfId="19" applyFont="1" applyFill="1"/>
    <xf numFmtId="0" fontId="17" fillId="0" borderId="0" xfId="19" applyFont="1" applyFill="1" applyBorder="1"/>
    <xf numFmtId="0" fontId="17" fillId="0" borderId="0" xfId="19" applyFont="1" applyBorder="1" applyAlignment="1">
      <alignment wrapText="1"/>
    </xf>
    <xf numFmtId="165" fontId="16" fillId="0" borderId="0" xfId="24" applyNumberFormat="1" applyFont="1" applyBorder="1" applyAlignment="1">
      <alignment wrapText="1"/>
    </xf>
    <xf numFmtId="0" fontId="17" fillId="0" borderId="0" xfId="19" applyFont="1" applyFill="1" applyBorder="1" applyAlignment="1">
      <alignment wrapText="1"/>
    </xf>
    <xf numFmtId="0" fontId="17" fillId="0" borderId="1" xfId="19" applyFont="1" applyFill="1" applyBorder="1" applyAlignment="1">
      <alignment horizontal="center" wrapText="1"/>
    </xf>
    <xf numFmtId="0" fontId="17" fillId="0" borderId="0" xfId="19" applyFont="1" applyFill="1" applyBorder="1" applyAlignment="1">
      <alignment horizontal="center" wrapText="1"/>
    </xf>
    <xf numFmtId="165" fontId="17" fillId="0" borderId="0" xfId="24" applyNumberFormat="1" applyFont="1" applyBorder="1"/>
    <xf numFmtId="166" fontId="17" fillId="0" borderId="0" xfId="19" applyNumberFormat="1" applyFont="1" applyBorder="1"/>
    <xf numFmtId="166" fontId="17" fillId="0" borderId="0" xfId="19" applyNumberFormat="1" applyFont="1" applyFill="1" applyBorder="1"/>
    <xf numFmtId="10" fontId="17" fillId="0" borderId="0" xfId="19" applyNumberFormat="1" applyFont="1" applyBorder="1"/>
    <xf numFmtId="10" fontId="17" fillId="0" borderId="0" xfId="19" applyNumberFormat="1" applyFont="1" applyFill="1" applyBorder="1"/>
    <xf numFmtId="0" fontId="16" fillId="0" borderId="0" xfId="19" applyFont="1" applyFill="1" applyBorder="1" applyAlignment="1">
      <alignment horizontal="center"/>
    </xf>
    <xf numFmtId="0" fontId="19" fillId="0" borderId="0" xfId="9" applyFont="1" applyFill="1" applyBorder="1" applyAlignment="1">
      <alignment horizontal="center" wrapText="1"/>
    </xf>
    <xf numFmtId="165" fontId="16" fillId="0" borderId="0" xfId="24" applyNumberFormat="1" applyFont="1" applyFill="1" applyBorder="1" applyAlignment="1">
      <alignment horizontal="center" wrapText="1"/>
    </xf>
    <xf numFmtId="0" fontId="16" fillId="0" borderId="0" xfId="19" applyFont="1" applyFill="1" applyBorder="1" applyAlignment="1">
      <alignment horizontal="center" wrapText="1"/>
    </xf>
    <xf numFmtId="165" fontId="18" fillId="0" borderId="0" xfId="24" applyNumberFormat="1" applyFont="1" applyBorder="1"/>
    <xf numFmtId="165" fontId="17" fillId="0" borderId="0" xfId="24" applyNumberFormat="1" applyFont="1" applyFill="1" applyBorder="1"/>
    <xf numFmtId="165" fontId="18" fillId="0" borderId="7" xfId="24" applyNumberFormat="1" applyFont="1" applyBorder="1"/>
    <xf numFmtId="165" fontId="18" fillId="0" borderId="7" xfId="24" applyNumberFormat="1" applyFont="1" applyFill="1" applyBorder="1"/>
    <xf numFmtId="165" fontId="18" fillId="0" borderId="0" xfId="24" applyNumberFormat="1" applyFont="1" applyFill="1" applyBorder="1"/>
    <xf numFmtId="165" fontId="18" fillId="0" borderId="0" xfId="24" applyNumberFormat="1" applyFont="1"/>
    <xf numFmtId="165" fontId="18" fillId="0" borderId="0" xfId="24" applyNumberFormat="1" applyFont="1" applyFill="1"/>
    <xf numFmtId="165" fontId="18" fillId="0" borderId="1" xfId="24" applyNumberFormat="1" applyFont="1" applyBorder="1"/>
    <xf numFmtId="165" fontId="17" fillId="0" borderId="1" xfId="24" applyNumberFormat="1" applyFont="1" applyFill="1" applyBorder="1"/>
    <xf numFmtId="165" fontId="17" fillId="0" borderId="1" xfId="24" applyNumberFormat="1" applyFont="1" applyBorder="1"/>
    <xf numFmtId="165" fontId="18" fillId="0" borderId="6" xfId="24" applyNumberFormat="1" applyFont="1" applyFill="1" applyBorder="1"/>
    <xf numFmtId="0" fontId="16" fillId="0" borderId="0" xfId="19" applyFont="1"/>
    <xf numFmtId="165" fontId="16" fillId="0" borderId="5" xfId="24" applyNumberFormat="1" applyFont="1" applyBorder="1"/>
    <xf numFmtId="165" fontId="16" fillId="0" borderId="0" xfId="24" applyNumberFormat="1" applyFont="1" applyBorder="1"/>
    <xf numFmtId="165" fontId="16" fillId="0" borderId="5" xfId="24" applyNumberFormat="1" applyFont="1" applyFill="1" applyBorder="1"/>
    <xf numFmtId="165" fontId="16" fillId="0" borderId="0" xfId="24" applyNumberFormat="1" applyFont="1" applyFill="1" applyBorder="1"/>
    <xf numFmtId="165" fontId="16" fillId="0" borderId="0" xfId="24" applyNumberFormat="1" applyFont="1"/>
    <xf numFmtId="165" fontId="16" fillId="0" borderId="0" xfId="24" applyNumberFormat="1" applyFont="1" applyFill="1"/>
    <xf numFmtId="165" fontId="18" fillId="0" borderId="6" xfId="24" applyNumberFormat="1" applyFont="1" applyBorder="1"/>
    <xf numFmtId="165" fontId="17" fillId="0" borderId="0" xfId="19" applyNumberFormat="1" applyFont="1" applyFill="1"/>
    <xf numFmtId="10" fontId="18" fillId="0" borderId="0" xfId="23" applyNumberFormat="1" applyFont="1" applyFill="1" applyAlignment="1">
      <alignment horizontal="center"/>
    </xf>
    <xf numFmtId="10" fontId="18" fillId="0" borderId="0" xfId="23" applyNumberFormat="1" applyFont="1" applyFill="1" applyBorder="1" applyAlignment="1">
      <alignment horizontal="center" wrapText="1"/>
    </xf>
    <xf numFmtId="10" fontId="18" fillId="0" borderId="0" xfId="23" applyNumberFormat="1" applyFont="1" applyFill="1" applyBorder="1" applyAlignment="1">
      <alignment horizontal="center"/>
    </xf>
    <xf numFmtId="10" fontId="19" fillId="0" borderId="0" xfId="23" applyNumberFormat="1" applyFont="1" applyFill="1" applyBorder="1" applyAlignment="1">
      <alignment horizontal="center" wrapText="1"/>
    </xf>
    <xf numFmtId="0" fontId="16" fillId="0" borderId="0" xfId="19" applyFont="1" applyFill="1" applyBorder="1"/>
    <xf numFmtId="10" fontId="16" fillId="0" borderId="0" xfId="23" applyNumberFormat="1" applyFont="1" applyFill="1" applyAlignment="1">
      <alignment horizontal="center"/>
    </xf>
    <xf numFmtId="0" fontId="16" fillId="0" borderId="0" xfId="19" applyFont="1" applyFill="1" applyBorder="1" applyAlignment="1">
      <alignment wrapText="1"/>
    </xf>
    <xf numFmtId="165" fontId="20" fillId="0" borderId="0" xfId="24" applyNumberFormat="1" applyFont="1" applyFill="1" applyBorder="1" applyAlignment="1">
      <alignment wrapText="1"/>
    </xf>
    <xf numFmtId="165" fontId="20" fillId="0" borderId="1" xfId="24" applyNumberFormat="1" applyFont="1" applyFill="1" applyBorder="1" applyAlignment="1">
      <alignment wrapText="1"/>
    </xf>
    <xf numFmtId="0" fontId="16" fillId="0" borderId="0" xfId="19" applyFont="1" applyFill="1"/>
    <xf numFmtId="0" fontId="16" fillId="0" borderId="0" xfId="19" applyFont="1" applyFill="1" applyBorder="1" applyAlignment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14" fillId="0" borderId="9" xfId="26" applyFont="1" applyFill="1" applyBorder="1"/>
    <xf numFmtId="0" fontId="11" fillId="0" borderId="9" xfId="26" applyFont="1" applyFill="1" applyBorder="1"/>
    <xf numFmtId="0" fontId="11" fillId="0" borderId="9" xfId="0" applyFont="1" applyFill="1" applyBorder="1"/>
    <xf numFmtId="3" fontId="11" fillId="0" borderId="0" xfId="0" applyNumberFormat="1" applyFont="1" applyFill="1"/>
    <xf numFmtId="3" fontId="11" fillId="0" borderId="0" xfId="0" applyNumberFormat="1" applyFont="1"/>
    <xf numFmtId="10" fontId="11" fillId="0" borderId="0" xfId="10" applyNumberFormat="1" applyFont="1"/>
    <xf numFmtId="0" fontId="11" fillId="0" borderId="0" xfId="0" applyFont="1" applyFill="1" applyAlignment="1">
      <alignment horizontal="right"/>
    </xf>
    <xf numFmtId="0" fontId="11" fillId="0" borderId="1" xfId="26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6" fontId="23" fillId="0" borderId="0" xfId="0" applyNumberFormat="1" applyFont="1" applyFill="1"/>
    <xf numFmtId="166" fontId="11" fillId="0" borderId="0" xfId="0" applyNumberFormat="1" applyFont="1"/>
    <xf numFmtId="0" fontId="11" fillId="0" borderId="0" xfId="0" applyFont="1" applyAlignment="1">
      <alignment horizontal="right"/>
    </xf>
    <xf numFmtId="166" fontId="11" fillId="0" borderId="0" xfId="0" applyNumberFormat="1" applyFont="1" applyFill="1"/>
    <xf numFmtId="165" fontId="11" fillId="0" borderId="0" xfId="1" applyNumberFormat="1" applyFont="1"/>
    <xf numFmtId="0" fontId="11" fillId="0" borderId="0" xfId="26" applyFont="1"/>
    <xf numFmtId="43" fontId="11" fillId="0" borderId="0" xfId="1" applyFont="1"/>
    <xf numFmtId="3" fontId="11" fillId="0" borderId="1" xfId="0" applyNumberFormat="1" applyFont="1" applyFill="1" applyBorder="1"/>
    <xf numFmtId="0" fontId="24" fillId="0" borderId="0" xfId="0" applyFont="1" applyFill="1"/>
    <xf numFmtId="10" fontId="11" fillId="0" borderId="0" xfId="12" applyNumberFormat="1" applyFont="1" applyFill="1"/>
    <xf numFmtId="0" fontId="24" fillId="0" borderId="0" xfId="4" applyFont="1" applyFill="1"/>
    <xf numFmtId="44" fontId="11" fillId="0" borderId="0" xfId="2" applyFont="1"/>
    <xf numFmtId="0" fontId="11" fillId="0" borderId="0" xfId="4" applyFont="1" applyFill="1"/>
    <xf numFmtId="0" fontId="11" fillId="0" borderId="0" xfId="26" applyFont="1" applyFill="1" applyAlignment="1">
      <alignment horizontal="right"/>
    </xf>
    <xf numFmtId="0" fontId="11" fillId="0" borderId="0" xfId="26" applyFont="1" applyFill="1"/>
    <xf numFmtId="166" fontId="23" fillId="0" borderId="0" xfId="26" applyNumberFormat="1" applyFont="1" applyFill="1"/>
    <xf numFmtId="3" fontId="14" fillId="0" borderId="0" xfId="0" applyNumberFormat="1" applyFont="1" applyFill="1"/>
    <xf numFmtId="0" fontId="14" fillId="0" borderId="0" xfId="0" applyFont="1" applyAlignment="1">
      <alignment horizontal="right"/>
    </xf>
    <xf numFmtId="167" fontId="11" fillId="0" borderId="0" xfId="0" applyNumberFormat="1" applyFont="1"/>
    <xf numFmtId="3" fontId="11" fillId="0" borderId="7" xfId="0" applyNumberFormat="1" applyFont="1" applyFill="1" applyBorder="1"/>
    <xf numFmtId="3" fontId="11" fillId="0" borderId="0" xfId="0" applyNumberFormat="1" applyFont="1" applyBorder="1"/>
    <xf numFmtId="3" fontId="11" fillId="0" borderId="0" xfId="0" applyNumberFormat="1" applyFont="1" applyFill="1" applyBorder="1"/>
    <xf numFmtId="3" fontId="11" fillId="5" borderId="0" xfId="0" applyNumberFormat="1" applyFont="1" applyFill="1" applyBorder="1"/>
    <xf numFmtId="0" fontId="11" fillId="0" borderId="0" xfId="0" applyFont="1" applyBorder="1" applyAlignment="1">
      <alignment horizontal="right"/>
    </xf>
    <xf numFmtId="3" fontId="14" fillId="0" borderId="7" xfId="0" applyNumberFormat="1" applyFont="1" applyFill="1" applyBorder="1"/>
    <xf numFmtId="0" fontId="11" fillId="0" borderId="0" xfId="0" applyFont="1" applyFill="1" applyBorder="1" applyAlignment="1">
      <alignment horizontal="right"/>
    </xf>
    <xf numFmtId="3" fontId="14" fillId="0" borderId="4" xfId="0" applyNumberFormat="1" applyFont="1" applyFill="1" applyBorder="1"/>
    <xf numFmtId="0" fontId="14" fillId="0" borderId="0" xfId="0" applyFont="1" applyAlignment="1">
      <alignment horizontal="left"/>
    </xf>
    <xf numFmtId="0" fontId="25" fillId="0" borderId="0" xfId="8" applyFont="1" applyFill="1" applyBorder="1" applyAlignment="1">
      <alignment horizontal="left"/>
    </xf>
    <xf numFmtId="0" fontId="25" fillId="0" borderId="0" xfId="8" applyFont="1" applyFill="1" applyBorder="1" applyAlignment="1"/>
    <xf numFmtId="0" fontId="25" fillId="0" borderId="0" xfId="8" applyFont="1" applyFill="1" applyBorder="1" applyAlignment="1">
      <alignment wrapText="1"/>
    </xf>
    <xf numFmtId="0" fontId="25" fillId="0" borderId="0" xfId="8" applyFont="1" applyFill="1" applyBorder="1" applyAlignment="1">
      <alignment horizontal="left" wrapText="1"/>
    </xf>
    <xf numFmtId="0" fontId="25" fillId="0" borderId="2" xfId="8" applyFont="1" applyFill="1" applyBorder="1" applyAlignment="1">
      <alignment horizontal="left" wrapText="1"/>
    </xf>
    <xf numFmtId="0" fontId="15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10" fontId="11" fillId="0" borderId="0" xfId="10" applyNumberFormat="1" applyFont="1" applyFill="1"/>
    <xf numFmtId="10" fontId="11" fillId="0" borderId="0" xfId="0" applyNumberFormat="1" applyFont="1" applyFill="1"/>
    <xf numFmtId="0" fontId="22" fillId="0" borderId="0" xfId="0" applyFont="1" applyFill="1" applyAlignment="1">
      <alignment horizontal="center"/>
    </xf>
    <xf numFmtId="167" fontId="11" fillId="0" borderId="0" xfId="0" applyNumberFormat="1" applyFont="1" applyFill="1"/>
    <xf numFmtId="10" fontId="23" fillId="0" borderId="0" xfId="26" applyNumberFormat="1" applyFont="1" applyFill="1"/>
    <xf numFmtId="10" fontId="11" fillId="0" borderId="0" xfId="26" applyNumberFormat="1" applyFont="1" applyFill="1"/>
    <xf numFmtId="3" fontId="11" fillId="0" borderId="0" xfId="10" applyNumberFormat="1" applyFont="1" applyFill="1" applyBorder="1"/>
    <xf numFmtId="3" fontId="11" fillId="0" borderId="0" xfId="1" applyNumberFormat="1" applyFont="1" applyFill="1" applyBorder="1"/>
    <xf numFmtId="3" fontId="11" fillId="5" borderId="7" xfId="0" applyNumberFormat="1" applyFont="1" applyFill="1" applyBorder="1"/>
    <xf numFmtId="3" fontId="14" fillId="5" borderId="7" xfId="0" applyNumberFormat="1" applyFont="1" applyFill="1" applyBorder="1"/>
    <xf numFmtId="0" fontId="26" fillId="0" borderId="0" xfId="0" applyFont="1"/>
    <xf numFmtId="0" fontId="26" fillId="0" borderId="0" xfId="0" applyFont="1" applyFill="1"/>
    <xf numFmtId="0" fontId="28" fillId="0" borderId="0" xfId="0" applyFont="1" applyFill="1"/>
    <xf numFmtId="0" fontId="27" fillId="0" borderId="0" xfId="28" applyFont="1" applyFill="1" applyBorder="1" applyAlignment="1"/>
    <xf numFmtId="0" fontId="28" fillId="0" borderId="0" xfId="19" applyFont="1"/>
    <xf numFmtId="0" fontId="29" fillId="0" borderId="0" xfId="27" applyFont="1"/>
    <xf numFmtId="0" fontId="29" fillId="0" borderId="0" xfId="27" applyFont="1" applyAlignment="1"/>
    <xf numFmtId="165" fontId="30" fillId="0" borderId="0" xfId="1" applyNumberFormat="1" applyFont="1"/>
    <xf numFmtId="165" fontId="29" fillId="0" borderId="0" xfId="1" applyNumberFormat="1" applyFont="1"/>
    <xf numFmtId="14" fontId="30" fillId="0" borderId="0" xfId="27" applyNumberFormat="1" applyFont="1"/>
    <xf numFmtId="165" fontId="31" fillId="0" borderId="7" xfId="27" applyNumberFormat="1" applyFont="1" applyBorder="1"/>
    <xf numFmtId="0" fontId="32" fillId="0" borderId="0" xfId="27" applyFont="1" applyAlignment="1"/>
    <xf numFmtId="165" fontId="29" fillId="0" borderId="0" xfId="27" applyNumberFormat="1" applyFont="1"/>
    <xf numFmtId="0" fontId="33" fillId="2" borderId="11" xfId="28" applyFont="1" applyFill="1" applyBorder="1" applyAlignment="1">
      <alignment horizontal="center" wrapText="1"/>
    </xf>
    <xf numFmtId="165" fontId="33" fillId="2" borderId="11" xfId="1" applyNumberFormat="1" applyFont="1" applyFill="1" applyBorder="1" applyAlignment="1">
      <alignment horizontal="center"/>
    </xf>
    <xf numFmtId="165" fontId="33" fillId="2" borderId="11" xfId="1" applyNumberFormat="1" applyFont="1" applyFill="1" applyBorder="1" applyAlignment="1">
      <alignment horizontal="center" wrapText="1"/>
    </xf>
    <xf numFmtId="0" fontId="31" fillId="0" borderId="0" xfId="27" applyFont="1"/>
    <xf numFmtId="0" fontId="34" fillId="0" borderId="0" xfId="28" applyFont="1" applyFill="1" applyBorder="1" applyAlignment="1"/>
    <xf numFmtId="0" fontId="29" fillId="0" borderId="0" xfId="27" applyFont="1" applyBorder="1"/>
    <xf numFmtId="0" fontId="34" fillId="0" borderId="0" xfId="28" applyNumberFormat="1" applyFont="1" applyFill="1" applyBorder="1" applyAlignment="1"/>
    <xf numFmtId="165" fontId="34" fillId="0" borderId="0" xfId="1" applyNumberFormat="1" applyFont="1" applyFill="1" applyBorder="1" applyAlignment="1">
      <alignment horizontal="right"/>
    </xf>
    <xf numFmtId="0" fontId="29" fillId="0" borderId="0" xfId="27" applyFont="1" applyFill="1"/>
    <xf numFmtId="0" fontId="29" fillId="0" borderId="5" xfId="27" applyFont="1" applyBorder="1"/>
    <xf numFmtId="0" fontId="29" fillId="0" borderId="5" xfId="27" applyFont="1" applyBorder="1" applyAlignment="1"/>
    <xf numFmtId="165" fontId="29" fillId="0" borderId="5" xfId="1" applyNumberFormat="1" applyFont="1" applyBorder="1"/>
    <xf numFmtId="165" fontId="31" fillId="0" borderId="0" xfId="1" applyNumberFormat="1" applyFont="1"/>
    <xf numFmtId="10" fontId="29" fillId="0" borderId="0" xfId="10" applyNumberFormat="1" applyFont="1"/>
    <xf numFmtId="0" fontId="31" fillId="0" borderId="1" xfId="27" applyFont="1" applyBorder="1" applyAlignment="1">
      <alignment horizontal="center" wrapText="1"/>
    </xf>
    <xf numFmtId="165" fontId="31" fillId="0" borderId="9" xfId="1" applyNumberFormat="1" applyFont="1" applyBorder="1"/>
    <xf numFmtId="0" fontId="33" fillId="0" borderId="0" xfId="28" applyFont="1" applyFill="1" applyBorder="1" applyAlignment="1">
      <alignment horizontal="center" wrapText="1"/>
    </xf>
    <xf numFmtId="165" fontId="33" fillId="0" borderId="0" xfId="1" applyNumberFormat="1" applyFont="1" applyFill="1" applyBorder="1" applyAlignment="1">
      <alignment horizontal="center"/>
    </xf>
    <xf numFmtId="165" fontId="33" fillId="0" borderId="0" xfId="1" applyNumberFormat="1" applyFont="1" applyFill="1" applyBorder="1" applyAlignment="1">
      <alignment horizontal="center" wrapText="1"/>
    </xf>
    <xf numFmtId="0" fontId="31" fillId="0" borderId="0" xfId="27" applyFont="1" applyFill="1"/>
    <xf numFmtId="165" fontId="31" fillId="0" borderId="7" xfId="1" applyNumberFormat="1" applyFont="1" applyBorder="1"/>
    <xf numFmtId="10" fontId="23" fillId="6" borderId="0" xfId="26" applyNumberFormat="1" applyFont="1" applyFill="1"/>
    <xf numFmtId="0" fontId="33" fillId="0" borderId="0" xfId="28" applyFont="1" applyFill="1" applyBorder="1" applyAlignment="1"/>
    <xf numFmtId="0" fontId="33" fillId="0" borderId="0" xfId="28" applyNumberFormat="1" applyFont="1" applyFill="1" applyBorder="1" applyAlignme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6" fillId="0" borderId="0" xfId="0" quotePrefix="1" applyFont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35" fillId="0" borderId="0" xfId="0" applyFont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6" fillId="0" borderId="0" xfId="8" applyFont="1" applyFill="1" applyBorder="1" applyAlignment="1">
      <alignment horizontal="left" wrapText="1"/>
    </xf>
    <xf numFmtId="164" fontId="26" fillId="0" borderId="0" xfId="0" applyNumberFormat="1" applyFont="1" applyFill="1"/>
    <xf numFmtId="3" fontId="26" fillId="0" borderId="0" xfId="0" applyNumberFormat="1" applyFont="1" applyFill="1"/>
    <xf numFmtId="0" fontId="37" fillId="0" borderId="0" xfId="0" applyFont="1"/>
    <xf numFmtId="3" fontId="26" fillId="0" borderId="0" xfId="0" applyNumberFormat="1" applyFont="1"/>
    <xf numFmtId="0" fontId="37" fillId="0" borderId="0" xfId="0" applyFont="1" applyAlignment="1">
      <alignment horizontal="left"/>
    </xf>
    <xf numFmtId="164" fontId="26" fillId="0" borderId="0" xfId="0" applyNumberFormat="1" applyFont="1"/>
    <xf numFmtId="0" fontId="37" fillId="0" borderId="0" xfId="0" applyFont="1" applyFill="1"/>
    <xf numFmtId="0" fontId="36" fillId="0" borderId="0" xfId="8" applyFont="1" applyFill="1" applyBorder="1" applyAlignment="1">
      <alignment wrapText="1"/>
    </xf>
    <xf numFmtId="0" fontId="28" fillId="0" borderId="0" xfId="0" applyFont="1" applyAlignment="1">
      <alignment horizontal="center"/>
    </xf>
    <xf numFmtId="3" fontId="28" fillId="0" borderId="1" xfId="0" applyNumberFormat="1" applyFont="1" applyFill="1" applyBorder="1"/>
    <xf numFmtId="0" fontId="36" fillId="0" borderId="2" xfId="8" applyFont="1" applyFill="1" applyBorder="1" applyAlignment="1">
      <alignment horizontal="left" wrapText="1"/>
    </xf>
    <xf numFmtId="1" fontId="26" fillId="0" borderId="0" xfId="0" applyNumberFormat="1" applyFont="1"/>
    <xf numFmtId="3" fontId="28" fillId="0" borderId="1" xfId="0" applyNumberFormat="1" applyFont="1" applyBorder="1"/>
    <xf numFmtId="3" fontId="28" fillId="0" borderId="0" xfId="0" applyNumberFormat="1" applyFont="1"/>
    <xf numFmtId="3" fontId="28" fillId="0" borderId="3" xfId="0" applyNumberFormat="1" applyFont="1" applyBorder="1"/>
    <xf numFmtId="165" fontId="26" fillId="0" borderId="0" xfId="1" applyNumberFormat="1" applyFont="1"/>
    <xf numFmtId="165" fontId="26" fillId="0" borderId="0" xfId="0" applyNumberFormat="1" applyFont="1"/>
    <xf numFmtId="0" fontId="26" fillId="0" borderId="1" xfId="0" applyFont="1" applyBorder="1"/>
    <xf numFmtId="0" fontId="31" fillId="0" borderId="0" xfId="27" applyFont="1" applyBorder="1"/>
    <xf numFmtId="165" fontId="33" fillId="0" borderId="0" xfId="1" applyNumberFormat="1" applyFont="1" applyFill="1" applyBorder="1" applyAlignment="1">
      <alignment horizontal="right"/>
    </xf>
    <xf numFmtId="1" fontId="11" fillId="0" borderId="0" xfId="0" applyNumberFormat="1" applyFont="1" applyFill="1"/>
    <xf numFmtId="166" fontId="11" fillId="0" borderId="0" xfId="4" applyNumberFormat="1" applyFont="1" applyFill="1"/>
    <xf numFmtId="165" fontId="17" fillId="0" borderId="0" xfId="19" applyNumberFormat="1" applyFont="1" applyFill="1" applyBorder="1"/>
    <xf numFmtId="0" fontId="38" fillId="0" borderId="0" xfId="19" applyFont="1" applyFill="1" applyAlignment="1">
      <alignment horizontal="right"/>
    </xf>
    <xf numFmtId="165" fontId="38" fillId="0" borderId="0" xfId="24" applyNumberFormat="1" applyFont="1" applyFill="1" applyBorder="1" applyAlignment="1"/>
    <xf numFmtId="165" fontId="17" fillId="0" borderId="7" xfId="19" applyNumberFormat="1" applyFont="1" applyFill="1" applyBorder="1"/>
    <xf numFmtId="0" fontId="39" fillId="0" borderId="0" xfId="0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0" fontId="28" fillId="0" borderId="0" xfId="0" applyFont="1" applyAlignment="1"/>
    <xf numFmtId="3" fontId="28" fillId="0" borderId="0" xfId="0" applyNumberFormat="1" applyFont="1" applyBorder="1"/>
    <xf numFmtId="3" fontId="38" fillId="0" borderId="0" xfId="0" applyNumberFormat="1" applyFont="1" applyBorder="1" applyAlignment="1">
      <alignment horizontal="right"/>
    </xf>
    <xf numFmtId="165" fontId="38" fillId="0" borderId="0" xfId="1" applyNumberFormat="1" applyFont="1" applyFill="1" applyBorder="1" applyAlignment="1">
      <alignment horizontal="right"/>
    </xf>
    <xf numFmtId="165" fontId="11" fillId="0" borderId="0" xfId="1" applyNumberFormat="1" applyFont="1" applyFill="1"/>
    <xf numFmtId="0" fontId="43" fillId="0" borderId="0" xfId="28" applyFont="1" applyFill="1" applyBorder="1" applyAlignment="1">
      <alignment wrapText="1"/>
    </xf>
    <xf numFmtId="0" fontId="44" fillId="0" borderId="0" xfId="19" applyFont="1" applyFill="1" applyBorder="1"/>
    <xf numFmtId="0" fontId="43" fillId="0" borderId="0" xfId="28" applyNumberFormat="1" applyFont="1" applyFill="1" applyBorder="1" applyAlignment="1">
      <alignment wrapText="1"/>
    </xf>
    <xf numFmtId="43" fontId="29" fillId="0" borderId="0" xfId="27" applyNumberFormat="1" applyFont="1"/>
    <xf numFmtId="10" fontId="29" fillId="0" borderId="0" xfId="27" applyNumberFormat="1" applyFont="1"/>
    <xf numFmtId="9" fontId="29" fillId="0" borderId="0" xfId="27" applyNumberFormat="1" applyFont="1"/>
    <xf numFmtId="9" fontId="29" fillId="0" borderId="0" xfId="10" applyFont="1"/>
    <xf numFmtId="0" fontId="46" fillId="7" borderId="13" xfId="0" applyFont="1" applyFill="1" applyBorder="1"/>
    <xf numFmtId="0" fontId="45" fillId="7" borderId="13" xfId="0" applyFont="1" applyFill="1" applyBorder="1"/>
    <xf numFmtId="0" fontId="3" fillId="7" borderId="13" xfId="0" applyFont="1" applyFill="1" applyBorder="1"/>
    <xf numFmtId="169" fontId="0" fillId="7" borderId="13" xfId="0" applyNumberFormat="1" applyFill="1" applyBorder="1"/>
    <xf numFmtId="0" fontId="3" fillId="7" borderId="13" xfId="0" applyFont="1" applyFill="1" applyBorder="1" applyAlignment="1">
      <alignment horizontal="center"/>
    </xf>
    <xf numFmtId="169" fontId="46" fillId="7" borderId="13" xfId="0" applyNumberFormat="1" applyFont="1" applyFill="1" applyBorder="1"/>
    <xf numFmtId="0" fontId="31" fillId="0" borderId="0" xfId="27" applyFont="1" applyAlignment="1">
      <alignment horizontal="center" wrapText="1"/>
    </xf>
    <xf numFmtId="1" fontId="29" fillId="0" borderId="0" xfId="27" applyNumberFormat="1" applyFont="1"/>
    <xf numFmtId="170" fontId="29" fillId="0" borderId="0" xfId="2" applyNumberFormat="1" applyFont="1" applyFill="1"/>
    <xf numFmtId="170" fontId="29" fillId="0" borderId="0" xfId="2" applyNumberFormat="1" applyFont="1"/>
    <xf numFmtId="0" fontId="3" fillId="0" borderId="0" xfId="0" applyFont="1"/>
    <xf numFmtId="170" fontId="0" fillId="0" borderId="0" xfId="2" applyNumberFormat="1" applyFont="1"/>
    <xf numFmtId="0" fontId="45" fillId="0" borderId="0" xfId="0" applyFont="1" applyAlignment="1">
      <alignment horizontal="center"/>
    </xf>
    <xf numFmtId="165" fontId="38" fillId="0" borderId="12" xfId="24" applyNumberFormat="1" applyFont="1" applyFill="1" applyBorder="1" applyAlignment="1">
      <alignment horizontal="right"/>
    </xf>
    <xf numFmtId="0" fontId="16" fillId="0" borderId="10" xfId="19" applyFont="1" applyFill="1" applyBorder="1" applyAlignment="1">
      <alignment horizontal="center"/>
    </xf>
    <xf numFmtId="0" fontId="16" fillId="0" borderId="7" xfId="19" applyFont="1" applyFill="1" applyBorder="1" applyAlignment="1">
      <alignment horizontal="center"/>
    </xf>
    <xf numFmtId="0" fontId="16" fillId="0" borderId="8" xfId="19" applyFont="1" applyFill="1" applyBorder="1" applyAlignment="1">
      <alignment horizontal="center"/>
    </xf>
    <xf numFmtId="0" fontId="16" fillId="0" borderId="10" xfId="19" applyFont="1" applyBorder="1" applyAlignment="1">
      <alignment horizontal="center"/>
    </xf>
    <xf numFmtId="0" fontId="16" fillId="0" borderId="7" xfId="19" applyFont="1" applyBorder="1" applyAlignment="1">
      <alignment horizontal="center"/>
    </xf>
    <xf numFmtId="0" fontId="16" fillId="0" borderId="8" xfId="19" applyFont="1" applyBorder="1" applyAlignment="1">
      <alignment horizontal="center"/>
    </xf>
    <xf numFmtId="0" fontId="28" fillId="0" borderId="0" xfId="0" applyFont="1" applyAlignment="1">
      <alignment horizontal="center"/>
    </xf>
    <xf numFmtId="0" fontId="45" fillId="0" borderId="1" xfId="0" applyFont="1" applyBorder="1" applyAlignment="1">
      <alignment horizontal="center"/>
    </xf>
  </cellXfs>
  <cellStyles count="30">
    <cellStyle name="Comma" xfId="1" builtinId="3"/>
    <cellStyle name="Comma 2" xfId="18"/>
    <cellStyle name="Comma 2 2" xfId="24"/>
    <cellStyle name="Comma 3" xfId="20"/>
    <cellStyle name="Comma 4" xfId="25"/>
    <cellStyle name="Currency" xfId="2" builtinId="4"/>
    <cellStyle name="Currency 2" xfId="29"/>
    <cellStyle name="Normal" xfId="0" builtinId="0"/>
    <cellStyle name="Normal 10" xfId="15"/>
    <cellStyle name="Normal 12" xfId="16"/>
    <cellStyle name="Normal 13" xfId="17"/>
    <cellStyle name="Normal 2" xfId="3"/>
    <cellStyle name="Normal 2 2" xfId="19"/>
    <cellStyle name="Normal 3" xfId="4"/>
    <cellStyle name="Normal 4" xfId="27"/>
    <cellStyle name="Normal 5" xfId="5"/>
    <cellStyle name="Normal 6" xfId="13"/>
    <cellStyle name="Normal 7" xfId="6"/>
    <cellStyle name="Normal 8" xfId="7"/>
    <cellStyle name="Normal 9" xfId="14"/>
    <cellStyle name="Normal_1296GasLabor$" xfId="26"/>
    <cellStyle name="Normal_Pro forma Rates" xfId="8"/>
    <cellStyle name="Normal_Sheet1" xfId="9"/>
    <cellStyle name="Normal_Year 1 - 3 2" xfId="28"/>
    <cellStyle name="OUTPUT AMOUNTS" xfId="21"/>
    <cellStyle name="OUTPUT LINE ITEMS" xfId="22"/>
    <cellStyle name="Percent" xfId="10" builtinId="5"/>
    <cellStyle name="Percent 2" xfId="11"/>
    <cellStyle name="Percent 2 2" xfId="23"/>
    <cellStyle name="Percent 3" xfId="1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486833</xdr:colOff>
      <xdr:row>15</xdr:row>
      <xdr:rowOff>105833</xdr:rowOff>
    </xdr:from>
    <xdr:to>
      <xdr:col>1</xdr:col>
      <xdr:colOff>486833</xdr:colOff>
      <xdr:row>56</xdr:row>
      <xdr:rowOff>21166</xdr:rowOff>
    </xdr:to>
    <xdr:cxnSp macro="">
      <xdr:nvCxnSpPr>
        <xdr:cNvPr id="2" name="Straight Arrow Connector 1"/>
        <xdr:cNvCxnSpPr/>
      </xdr:nvCxnSpPr>
      <xdr:spPr>
        <a:xfrm>
          <a:off x="1905000" y="2984500"/>
          <a:ext cx="0" cy="54715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381000</xdr:colOff>
      <xdr:row>15</xdr:row>
      <xdr:rowOff>137583</xdr:rowOff>
    </xdr:from>
    <xdr:to>
      <xdr:col>3</xdr:col>
      <xdr:colOff>381000</xdr:colOff>
      <xdr:row>56</xdr:row>
      <xdr:rowOff>52916</xdr:rowOff>
    </xdr:to>
    <xdr:cxnSp macro="">
      <xdr:nvCxnSpPr>
        <xdr:cNvPr id="4" name="Straight Arrow Connector 3"/>
        <xdr:cNvCxnSpPr/>
      </xdr:nvCxnSpPr>
      <xdr:spPr>
        <a:xfrm>
          <a:off x="3249083" y="3016250"/>
          <a:ext cx="0" cy="54715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350</xdr:row>
      <xdr:rowOff>123264</xdr:rowOff>
    </xdr:from>
    <xdr:to>
      <xdr:col>18</xdr:col>
      <xdr:colOff>714375</xdr:colOff>
      <xdr:row>350</xdr:row>
      <xdr:rowOff>123264</xdr:rowOff>
    </xdr:to>
    <xdr:cxnSp macro="">
      <xdr:nvCxnSpPr>
        <xdr:cNvPr id="2" name="Straight Connector 1"/>
        <xdr:cNvCxnSpPr/>
      </xdr:nvCxnSpPr>
      <xdr:spPr>
        <a:xfrm>
          <a:off x="11979088" y="71034088"/>
          <a:ext cx="714375" cy="0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topLeftCell="D1" workbookViewId="0">
      <selection activeCell="G26" sqref="G26"/>
    </sheetView>
  </sheetViews>
  <sheetFormatPr defaultRowHeight="12.75"/>
  <cols>
    <col min="1" max="1" width="31.85546875" hidden="1" customWidth="1"/>
    <col min="2" max="2" width="15.28515625" hidden="1" customWidth="1"/>
    <col min="3" max="3" width="13.28515625" hidden="1" customWidth="1"/>
    <col min="4" max="4" width="43.140625" bestFit="1" customWidth="1"/>
    <col min="6" max="6" width="16.7109375" hidden="1" customWidth="1"/>
    <col min="7" max="7" width="42.85546875" bestFit="1" customWidth="1"/>
    <col min="8" max="8" width="20" hidden="1" customWidth="1"/>
    <col min="9" max="25" width="0" hidden="1" customWidth="1"/>
    <col min="26" max="26" width="15" bestFit="1" customWidth="1"/>
    <col min="27" max="27" width="13.85546875" bestFit="1" customWidth="1"/>
  </cols>
  <sheetData>
    <row r="1" spans="1:27" s="220" customFormat="1">
      <c r="A1" s="220" t="s">
        <v>314</v>
      </c>
      <c r="B1" s="220" t="s">
        <v>313</v>
      </c>
      <c r="C1" s="220" t="s">
        <v>312</v>
      </c>
      <c r="D1" s="229" t="s">
        <v>270</v>
      </c>
      <c r="E1" s="229" t="s">
        <v>22</v>
      </c>
      <c r="F1" s="229" t="s">
        <v>311</v>
      </c>
      <c r="G1" s="229" t="s">
        <v>38</v>
      </c>
      <c r="H1" s="229" t="s">
        <v>275</v>
      </c>
      <c r="I1" s="229" t="s">
        <v>7</v>
      </c>
      <c r="J1" s="229" t="s">
        <v>8</v>
      </c>
      <c r="K1" s="229" t="s">
        <v>9</v>
      </c>
      <c r="L1" s="229" t="s">
        <v>10</v>
      </c>
      <c r="M1" s="229" t="s">
        <v>11</v>
      </c>
      <c r="N1" s="229" t="s">
        <v>12</v>
      </c>
      <c r="O1" s="229" t="s">
        <v>13</v>
      </c>
      <c r="P1" s="229" t="s">
        <v>14</v>
      </c>
      <c r="Q1" s="229" t="s">
        <v>15</v>
      </c>
      <c r="R1" s="229" t="s">
        <v>16</v>
      </c>
      <c r="S1" s="229" t="s">
        <v>17</v>
      </c>
      <c r="T1" s="229" t="s">
        <v>18</v>
      </c>
      <c r="U1" s="229" t="s">
        <v>134</v>
      </c>
      <c r="V1" s="229" t="s">
        <v>503</v>
      </c>
      <c r="W1" s="229" t="s">
        <v>504</v>
      </c>
      <c r="X1" s="229" t="s">
        <v>496</v>
      </c>
      <c r="Y1" s="229" t="s">
        <v>497</v>
      </c>
      <c r="Z1" s="229" t="s">
        <v>512</v>
      </c>
      <c r="AA1" s="229" t="s">
        <v>513</v>
      </c>
    </row>
    <row r="2" spans="1:27">
      <c r="A2" t="s">
        <v>228</v>
      </c>
      <c r="B2" t="s">
        <v>201</v>
      </c>
      <c r="C2" t="s">
        <v>40</v>
      </c>
      <c r="D2" t="s">
        <v>413</v>
      </c>
      <c r="E2">
        <v>2060</v>
      </c>
      <c r="F2" t="s">
        <v>143</v>
      </c>
      <c r="G2" t="s">
        <v>37</v>
      </c>
      <c r="H2" t="s">
        <v>276</v>
      </c>
      <c r="I2">
        <v>1201075</v>
      </c>
      <c r="J2">
        <v>886492</v>
      </c>
      <c r="K2">
        <v>837013</v>
      </c>
      <c r="L2">
        <v>873580</v>
      </c>
      <c r="M2">
        <v>904869</v>
      </c>
      <c r="N2">
        <v>842546</v>
      </c>
      <c r="O2">
        <v>1206648</v>
      </c>
      <c r="P2">
        <v>808342</v>
      </c>
      <c r="Q2">
        <v>830805</v>
      </c>
      <c r="R2">
        <v>894563</v>
      </c>
      <c r="S2">
        <v>904551</v>
      </c>
      <c r="T2">
        <v>809518</v>
      </c>
      <c r="U2">
        <v>11000002</v>
      </c>
      <c r="V2">
        <v>0.65629999999999999</v>
      </c>
      <c r="W2">
        <v>0</v>
      </c>
      <c r="X2">
        <v>7219301.3125999998</v>
      </c>
      <c r="Y2">
        <v>0</v>
      </c>
      <c r="Z2" s="219">
        <f>'CAP15.3 - edit'!Z21</f>
        <v>7219301.3125999998</v>
      </c>
      <c r="AA2" s="219">
        <f>'CAP15.3 - edit'!AA21</f>
        <v>0</v>
      </c>
    </row>
    <row r="3" spans="1:27">
      <c r="A3" t="s">
        <v>228</v>
      </c>
      <c r="B3" t="s">
        <v>201</v>
      </c>
      <c r="C3" t="s">
        <v>40</v>
      </c>
      <c r="D3" t="s">
        <v>354</v>
      </c>
      <c r="E3">
        <v>2470</v>
      </c>
      <c r="F3" t="s">
        <v>143</v>
      </c>
      <c r="G3" t="s">
        <v>354</v>
      </c>
      <c r="H3" t="s">
        <v>276</v>
      </c>
      <c r="I3">
        <v>556668</v>
      </c>
      <c r="J3">
        <v>467149</v>
      </c>
      <c r="K3">
        <v>528640</v>
      </c>
      <c r="L3">
        <v>585311</v>
      </c>
      <c r="M3">
        <v>664514</v>
      </c>
      <c r="N3">
        <v>743387</v>
      </c>
      <c r="O3">
        <v>823113</v>
      </c>
      <c r="P3">
        <v>733380</v>
      </c>
      <c r="Q3">
        <v>739770</v>
      </c>
      <c r="R3">
        <v>709612</v>
      </c>
      <c r="S3">
        <v>616660</v>
      </c>
      <c r="T3">
        <v>3756797</v>
      </c>
      <c r="U3">
        <v>10925001</v>
      </c>
      <c r="V3">
        <v>0.65190000000000003</v>
      </c>
      <c r="W3">
        <v>0</v>
      </c>
      <c r="X3">
        <v>7122008.1518999999</v>
      </c>
      <c r="Y3">
        <v>0</v>
      </c>
      <c r="Z3" s="219">
        <f>'CAP15.3 - edit'!Z33</f>
        <v>7122008.1518999999</v>
      </c>
      <c r="AA3" s="219">
        <f>'CAP15.3 - edit'!AA33</f>
        <v>0</v>
      </c>
    </row>
    <row r="4" spans="1:27">
      <c r="A4" t="s">
        <v>231</v>
      </c>
      <c r="B4" t="s">
        <v>202</v>
      </c>
      <c r="C4" t="s">
        <v>41</v>
      </c>
      <c r="D4" t="s">
        <v>442</v>
      </c>
      <c r="E4">
        <v>3005</v>
      </c>
      <c r="F4" t="s">
        <v>137</v>
      </c>
      <c r="G4" t="s">
        <v>57</v>
      </c>
      <c r="H4" t="s">
        <v>276</v>
      </c>
      <c r="I4">
        <v>416888</v>
      </c>
      <c r="J4">
        <v>368764</v>
      </c>
      <c r="K4">
        <v>403274</v>
      </c>
      <c r="L4">
        <v>445095</v>
      </c>
      <c r="M4">
        <v>516579</v>
      </c>
      <c r="N4">
        <v>530161</v>
      </c>
      <c r="O4">
        <v>555390</v>
      </c>
      <c r="P4">
        <v>549621</v>
      </c>
      <c r="Q4">
        <v>553055</v>
      </c>
      <c r="R4">
        <v>551254</v>
      </c>
      <c r="S4">
        <v>455586</v>
      </c>
      <c r="T4">
        <v>654332</v>
      </c>
      <c r="U4">
        <v>5999999</v>
      </c>
      <c r="V4">
        <v>0</v>
      </c>
      <c r="W4">
        <v>0.3624</v>
      </c>
      <c r="X4">
        <v>0</v>
      </c>
      <c r="Y4">
        <v>2174399.6376</v>
      </c>
      <c r="Z4" s="219">
        <f>'CAP15.3 - edit'!Z107</f>
        <v>0</v>
      </c>
      <c r="AA4" s="219">
        <f>'CAP15.3 - edit'!AA107</f>
        <v>2174399.6376</v>
      </c>
    </row>
    <row r="5" spans="1:27">
      <c r="A5" t="s">
        <v>231</v>
      </c>
      <c r="B5" t="s">
        <v>202</v>
      </c>
      <c r="C5" t="s">
        <v>41</v>
      </c>
      <c r="D5" t="s">
        <v>444</v>
      </c>
      <c r="E5">
        <v>3007</v>
      </c>
      <c r="F5" t="s">
        <v>137</v>
      </c>
      <c r="G5" t="s">
        <v>204</v>
      </c>
      <c r="H5" t="s">
        <v>277</v>
      </c>
      <c r="I5">
        <v>245218</v>
      </c>
      <c r="J5">
        <v>209989</v>
      </c>
      <c r="K5">
        <v>226841</v>
      </c>
      <c r="L5">
        <v>253087</v>
      </c>
      <c r="M5">
        <v>300982</v>
      </c>
      <c r="N5">
        <v>294003</v>
      </c>
      <c r="O5">
        <v>312543</v>
      </c>
      <c r="P5">
        <v>312406</v>
      </c>
      <c r="Q5">
        <v>314922</v>
      </c>
      <c r="R5">
        <v>322061</v>
      </c>
      <c r="S5">
        <v>256480</v>
      </c>
      <c r="T5">
        <v>401468</v>
      </c>
      <c r="U5">
        <v>3450000</v>
      </c>
      <c r="V5">
        <v>0</v>
      </c>
      <c r="W5">
        <v>0.76100000000000001</v>
      </c>
      <c r="X5">
        <v>0</v>
      </c>
      <c r="Y5">
        <v>2625450</v>
      </c>
      <c r="Z5" s="219">
        <f>'CAP15.3 - edit'!Z109</f>
        <v>0</v>
      </c>
      <c r="AA5" s="219">
        <f>'CAP15.3 - edit'!AA109</f>
        <v>2625450</v>
      </c>
    </row>
    <row r="6" spans="1:27">
      <c r="A6" t="s">
        <v>231</v>
      </c>
      <c r="B6" t="s">
        <v>202</v>
      </c>
      <c r="C6" t="s">
        <v>41</v>
      </c>
      <c r="D6" t="s">
        <v>445</v>
      </c>
      <c r="E6">
        <v>3008</v>
      </c>
      <c r="F6" t="s">
        <v>137</v>
      </c>
      <c r="G6" t="s">
        <v>205</v>
      </c>
      <c r="H6" t="s">
        <v>276</v>
      </c>
      <c r="I6">
        <v>966908</v>
      </c>
      <c r="J6">
        <v>905859</v>
      </c>
      <c r="K6">
        <v>1043178</v>
      </c>
      <c r="L6">
        <v>1197195</v>
      </c>
      <c r="M6">
        <v>1497110</v>
      </c>
      <c r="N6">
        <v>1485015</v>
      </c>
      <c r="O6">
        <v>1408754</v>
      </c>
      <c r="P6">
        <v>1625299</v>
      </c>
      <c r="Q6">
        <v>1629658</v>
      </c>
      <c r="R6">
        <v>1642032</v>
      </c>
      <c r="S6">
        <v>1203206</v>
      </c>
      <c r="T6">
        <v>2213215</v>
      </c>
      <c r="U6">
        <v>16817429</v>
      </c>
      <c r="V6">
        <v>0</v>
      </c>
      <c r="W6">
        <v>0.48</v>
      </c>
      <c r="X6">
        <v>0</v>
      </c>
      <c r="Y6">
        <v>8072365.9199999999</v>
      </c>
      <c r="Z6" s="219">
        <f>'CAP15.3 - edit'!Z110</f>
        <v>0</v>
      </c>
      <c r="AA6" s="219">
        <f>'CAP15.3 - edit'!AA110</f>
        <v>8072365.9199999999</v>
      </c>
    </row>
    <row r="7" spans="1:27">
      <c r="A7" t="s">
        <v>231</v>
      </c>
      <c r="B7" t="s">
        <v>202</v>
      </c>
      <c r="C7" t="s">
        <v>39</v>
      </c>
      <c r="D7" t="s">
        <v>454</v>
      </c>
      <c r="E7">
        <v>3306</v>
      </c>
      <c r="F7" t="s">
        <v>137</v>
      </c>
      <c r="G7" t="s">
        <v>324</v>
      </c>
      <c r="H7" t="s">
        <v>278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2955130</v>
      </c>
      <c r="S7">
        <v>274890</v>
      </c>
      <c r="T7">
        <v>274891</v>
      </c>
      <c r="U7">
        <v>3504911</v>
      </c>
      <c r="V7">
        <v>0</v>
      </c>
      <c r="W7">
        <v>1</v>
      </c>
      <c r="X7">
        <v>0</v>
      </c>
      <c r="Y7">
        <v>3504911</v>
      </c>
      <c r="Z7" s="219">
        <f>'CAP15.3 - edit'!Z125</f>
        <v>0</v>
      </c>
      <c r="AA7" s="219">
        <f>'CAP15.3 - edit'!AA125</f>
        <v>3504911</v>
      </c>
    </row>
    <row r="8" spans="1:27">
      <c r="A8" t="s">
        <v>236</v>
      </c>
      <c r="B8" t="s">
        <v>203</v>
      </c>
      <c r="C8" t="s">
        <v>41</v>
      </c>
      <c r="D8" t="s">
        <v>461</v>
      </c>
      <c r="E8">
        <v>7101</v>
      </c>
      <c r="F8" t="s">
        <v>142</v>
      </c>
      <c r="G8" t="s">
        <v>303</v>
      </c>
      <c r="H8" t="s">
        <v>278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9250000</v>
      </c>
      <c r="U8">
        <v>9250000</v>
      </c>
      <c r="V8">
        <v>0.482469333</v>
      </c>
      <c r="W8">
        <v>0.14308510700000002</v>
      </c>
      <c r="X8">
        <v>4462841.3302499996</v>
      </c>
      <c r="Y8">
        <v>1323537.2397500002</v>
      </c>
      <c r="Z8" s="219">
        <f>'CAP15.3 - edit'!Z142</f>
        <v>0</v>
      </c>
      <c r="AA8" s="219">
        <f>'CAP15.3 - edit'!AA142</f>
        <v>1323537.2397500002</v>
      </c>
    </row>
    <row r="9" spans="1:27">
      <c r="A9" t="s">
        <v>229</v>
      </c>
      <c r="B9" t="s">
        <v>201</v>
      </c>
      <c r="C9" t="s">
        <v>40</v>
      </c>
      <c r="D9" t="s">
        <v>470</v>
      </c>
      <c r="E9">
        <v>4140</v>
      </c>
      <c r="F9" t="s">
        <v>138</v>
      </c>
      <c r="G9" t="s">
        <v>62</v>
      </c>
      <c r="H9" t="s">
        <v>278</v>
      </c>
      <c r="I9">
        <v>0</v>
      </c>
      <c r="J9">
        <v>0</v>
      </c>
      <c r="K9">
        <v>0</v>
      </c>
      <c r="L9">
        <v>0</v>
      </c>
      <c r="M9">
        <v>2000000</v>
      </c>
      <c r="N9">
        <v>0</v>
      </c>
      <c r="O9">
        <v>0</v>
      </c>
      <c r="P9">
        <v>0</v>
      </c>
      <c r="Q9">
        <v>1000000</v>
      </c>
      <c r="R9">
        <v>0</v>
      </c>
      <c r="S9">
        <v>0</v>
      </c>
      <c r="T9">
        <v>48323000</v>
      </c>
      <c r="U9">
        <v>51323000</v>
      </c>
      <c r="V9">
        <v>0.67676999999999998</v>
      </c>
      <c r="W9">
        <v>0</v>
      </c>
      <c r="X9">
        <v>34733866.710000001</v>
      </c>
      <c r="Y9">
        <v>0</v>
      </c>
      <c r="Z9" s="219">
        <f>'CAP15.3 - edit'!Z160</f>
        <v>34733866.710000001</v>
      </c>
      <c r="AA9" s="219">
        <f>'CAP15.3 - edit'!AA160</f>
        <v>0</v>
      </c>
    </row>
    <row r="10" spans="1:27">
      <c r="A10" t="s">
        <v>229</v>
      </c>
      <c r="B10" t="s">
        <v>201</v>
      </c>
      <c r="C10" t="s">
        <v>40</v>
      </c>
      <c r="D10" t="s">
        <v>472</v>
      </c>
      <c r="E10">
        <v>4152</v>
      </c>
      <c r="F10" t="s">
        <v>138</v>
      </c>
      <c r="G10" t="s">
        <v>210</v>
      </c>
      <c r="H10" t="s">
        <v>278</v>
      </c>
      <c r="I10">
        <v>3800000</v>
      </c>
      <c r="J10">
        <v>0</v>
      </c>
      <c r="K10">
        <v>0</v>
      </c>
      <c r="L10">
        <v>10500000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14300000</v>
      </c>
      <c r="V10">
        <v>0.67676999999999998</v>
      </c>
      <c r="W10">
        <v>0</v>
      </c>
      <c r="X10">
        <v>9677811</v>
      </c>
      <c r="Y10">
        <v>0</v>
      </c>
      <c r="Z10" s="219">
        <f>'CAP15.3 - edit'!Z163</f>
        <v>9677811</v>
      </c>
      <c r="AA10" s="219">
        <f>'CAP15.3 - edit'!AA163</f>
        <v>0</v>
      </c>
    </row>
    <row r="11" spans="1:27">
      <c r="A11" t="s">
        <v>229</v>
      </c>
      <c r="B11" t="s">
        <v>201</v>
      </c>
      <c r="C11" t="s">
        <v>40</v>
      </c>
      <c r="D11" t="s">
        <v>473</v>
      </c>
      <c r="E11">
        <v>4161</v>
      </c>
      <c r="F11" t="s">
        <v>138</v>
      </c>
      <c r="G11" t="s">
        <v>328</v>
      </c>
      <c r="H11" t="s">
        <v>278</v>
      </c>
      <c r="I11">
        <v>0</v>
      </c>
      <c r="J11">
        <v>0</v>
      </c>
      <c r="K11">
        <v>0</v>
      </c>
      <c r="L11">
        <v>0</v>
      </c>
      <c r="M11">
        <v>11400000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11400000</v>
      </c>
      <c r="V11">
        <v>0.67676999999999998</v>
      </c>
      <c r="W11">
        <v>0</v>
      </c>
      <c r="X11">
        <v>7715178</v>
      </c>
      <c r="Y11">
        <v>0</v>
      </c>
      <c r="Z11" s="219">
        <f>'CAP15.3 - edit'!Z164</f>
        <v>7715178</v>
      </c>
      <c r="AA11" s="219">
        <f>'CAP15.3 - edit'!AA164</f>
        <v>0</v>
      </c>
    </row>
    <row r="12" spans="1:27">
      <c r="A12" t="s">
        <v>229</v>
      </c>
      <c r="B12" t="s">
        <v>201</v>
      </c>
      <c r="C12" t="s">
        <v>40</v>
      </c>
      <c r="D12" t="s">
        <v>474</v>
      </c>
      <c r="E12">
        <v>4162</v>
      </c>
      <c r="F12" t="s">
        <v>138</v>
      </c>
      <c r="G12" t="s">
        <v>329</v>
      </c>
      <c r="H12" t="s">
        <v>278</v>
      </c>
      <c r="I12">
        <v>0</v>
      </c>
      <c r="J12">
        <v>0</v>
      </c>
      <c r="K12">
        <v>0</v>
      </c>
      <c r="L12">
        <v>0</v>
      </c>
      <c r="M12">
        <v>11008000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11008000</v>
      </c>
      <c r="V12">
        <v>0.67676999999999998</v>
      </c>
      <c r="W12">
        <v>0</v>
      </c>
      <c r="X12">
        <v>7449884.1600000001</v>
      </c>
      <c r="Y12">
        <v>0</v>
      </c>
      <c r="Z12" s="219">
        <f>'CAP15.3 - edit'!Z165</f>
        <v>7449884.1600000001</v>
      </c>
      <c r="AA12" s="219">
        <f>'CAP15.3 - edit'!AA165</f>
        <v>0</v>
      </c>
    </row>
    <row r="13" spans="1:27">
      <c r="A13" s="218" t="s">
        <v>229</v>
      </c>
      <c r="B13" t="s">
        <v>201</v>
      </c>
      <c r="C13" t="s">
        <v>40</v>
      </c>
      <c r="D13" t="s">
        <v>478</v>
      </c>
      <c r="E13">
        <v>6103</v>
      </c>
      <c r="F13" t="s">
        <v>135</v>
      </c>
      <c r="G13" t="s">
        <v>67</v>
      </c>
      <c r="H13" t="s">
        <v>277</v>
      </c>
      <c r="I13">
        <v>768027</v>
      </c>
      <c r="J13">
        <v>864213</v>
      </c>
      <c r="K13">
        <v>896776</v>
      </c>
      <c r="L13">
        <v>962498</v>
      </c>
      <c r="M13">
        <v>995419</v>
      </c>
      <c r="N13">
        <v>1027769</v>
      </c>
      <c r="O13">
        <v>931917</v>
      </c>
      <c r="P13">
        <v>896455</v>
      </c>
      <c r="Q13">
        <v>962148</v>
      </c>
      <c r="R13">
        <v>995350</v>
      </c>
      <c r="S13">
        <v>1192039</v>
      </c>
      <c r="T13">
        <v>3395399</v>
      </c>
      <c r="U13">
        <v>13888010</v>
      </c>
      <c r="V13">
        <v>0.67676999999999998</v>
      </c>
      <c r="W13">
        <v>0</v>
      </c>
      <c r="X13">
        <v>9398988.5276999995</v>
      </c>
      <c r="Y13">
        <v>0</v>
      </c>
      <c r="Z13" s="219">
        <f>'CAP15.3 - edit'!Z173</f>
        <v>9398988.5276999995</v>
      </c>
      <c r="AA13" s="219">
        <f>'CAP15.3 - edit'!AA173</f>
        <v>0</v>
      </c>
    </row>
    <row r="14" spans="1:27">
      <c r="A14" t="s">
        <v>234</v>
      </c>
      <c r="B14" t="s">
        <v>203</v>
      </c>
      <c r="C14" t="s">
        <v>41</v>
      </c>
      <c r="D14" t="s">
        <v>482</v>
      </c>
      <c r="E14">
        <v>5005</v>
      </c>
      <c r="F14" t="s">
        <v>140</v>
      </c>
      <c r="G14" t="s">
        <v>211</v>
      </c>
      <c r="H14" t="s">
        <v>277</v>
      </c>
      <c r="I14">
        <v>0</v>
      </c>
      <c r="J14">
        <v>0</v>
      </c>
      <c r="K14">
        <v>4648709</v>
      </c>
      <c r="L14">
        <v>0</v>
      </c>
      <c r="M14">
        <v>0</v>
      </c>
      <c r="N14">
        <v>4648709</v>
      </c>
      <c r="O14">
        <v>0</v>
      </c>
      <c r="P14">
        <v>0</v>
      </c>
      <c r="Q14">
        <v>4648709</v>
      </c>
      <c r="R14">
        <v>0</v>
      </c>
      <c r="S14">
        <v>0</v>
      </c>
      <c r="T14">
        <v>4648709</v>
      </c>
      <c r="U14">
        <v>18594836</v>
      </c>
      <c r="V14">
        <v>0.482469333</v>
      </c>
      <c r="W14">
        <v>0.14308510700000002</v>
      </c>
      <c r="X14">
        <v>8971438.1221643873</v>
      </c>
      <c r="Y14">
        <v>2660644.0987074524</v>
      </c>
      <c r="Z14" s="219">
        <f>'CAP15.3 - edit'!Z183</f>
        <v>8971438.1221643873</v>
      </c>
      <c r="AA14" s="219">
        <f>'CAP15.3 - edit'!AA183</f>
        <v>2660644.0987074524</v>
      </c>
    </row>
    <row r="15" spans="1:27">
      <c r="A15" t="s">
        <v>234</v>
      </c>
      <c r="B15" t="s">
        <v>203</v>
      </c>
      <c r="C15" t="s">
        <v>41</v>
      </c>
      <c r="D15" t="s">
        <v>485</v>
      </c>
      <c r="E15">
        <v>5138</v>
      </c>
      <c r="F15" t="s">
        <v>140</v>
      </c>
      <c r="G15" t="s">
        <v>197</v>
      </c>
      <c r="H15" t="s">
        <v>278</v>
      </c>
      <c r="I15">
        <v>0</v>
      </c>
      <c r="J15">
        <v>83819844</v>
      </c>
      <c r="K15">
        <v>4000000</v>
      </c>
      <c r="L15">
        <v>2600000</v>
      </c>
      <c r="M15">
        <v>4688477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95108321</v>
      </c>
      <c r="V15">
        <v>0.482469333</v>
      </c>
      <c r="W15">
        <v>0.14308510700000002</v>
      </c>
      <c r="X15">
        <v>45886848.195619896</v>
      </c>
      <c r="Y15">
        <v>13608584.286875349</v>
      </c>
      <c r="Z15" s="219">
        <f>'CAP15.3 - edit'!Z186</f>
        <v>45886848.195619896</v>
      </c>
      <c r="AA15" s="219">
        <f>'CAP15.3 - edit'!AA186</f>
        <v>13608584.286875349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25" sqref="A25"/>
    </sheetView>
  </sheetViews>
  <sheetFormatPr defaultRowHeight="12.75"/>
  <cols>
    <col min="1" max="1" width="27.5703125" bestFit="1" customWidth="1"/>
    <col min="2" max="2" width="13.85546875" bestFit="1" customWidth="1"/>
    <col min="3" max="3" width="12.140625" bestFit="1" customWidth="1"/>
  </cols>
  <sheetData>
    <row r="1" spans="1:3">
      <c r="A1" s="208" t="s">
        <v>505</v>
      </c>
      <c r="B1" s="209" t="s">
        <v>506</v>
      </c>
      <c r="C1" s="209" t="s">
        <v>507</v>
      </c>
    </row>
    <row r="2" spans="1:3">
      <c r="A2" s="210" t="s">
        <v>508</v>
      </c>
      <c r="B2" s="211">
        <v>1273157000</v>
      </c>
      <c r="C2" s="211">
        <v>250257000</v>
      </c>
    </row>
    <row r="3" spans="1:3">
      <c r="A3" s="210" t="s">
        <v>509</v>
      </c>
      <c r="B3" s="212" t="s">
        <v>510</v>
      </c>
      <c r="C3" s="212" t="s">
        <v>510</v>
      </c>
    </row>
    <row r="4" spans="1:3">
      <c r="A4" s="208" t="s">
        <v>511</v>
      </c>
      <c r="B4" s="213">
        <f>B2*0.5/100</f>
        <v>6365785</v>
      </c>
      <c r="C4" s="213">
        <f>C2*0.5/100</f>
        <v>1251285</v>
      </c>
    </row>
  </sheetData>
  <conditionalFormatting sqref="C1 C3">
    <cfRule type="cellIs" dxfId="6" priority="3" operator="equal">
      <formula>"AA"</formula>
    </cfRule>
    <cfRule type="cellIs" dxfId="5" priority="4" operator="equal">
      <formula>"AN"</formula>
    </cfRule>
    <cfRule type="cellIs" dxfId="4" priority="5" operator="equal">
      <formula>"OR"</formula>
    </cfRule>
    <cfRule type="cellIs" dxfId="3" priority="6" operator="equal">
      <formula>"WA"</formula>
    </cfRule>
    <cfRule type="cellIs" dxfId="2" priority="7" operator="equal">
      <formula>"ID"</formula>
    </cfRule>
  </conditionalFormatting>
  <conditionalFormatting sqref="B1 B3:B4 C2 C4">
    <cfRule type="cellIs" dxfId="1" priority="1" operator="equal">
      <formula>"CD"</formula>
    </cfRule>
    <cfRule type="cellIs" dxfId="0" priority="2" operator="equal">
      <formula>"CC"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zoomScale="90" zoomScaleNormal="90" workbookViewId="0">
      <selection activeCell="X39" sqref="X39"/>
    </sheetView>
  </sheetViews>
  <sheetFormatPr defaultRowHeight="12.75"/>
  <cols>
    <col min="1" max="1" width="21.28515625" style="5" bestFit="1" customWidth="1"/>
    <col min="2" max="2" width="11.85546875" style="5" customWidth="1"/>
    <col min="3" max="3" width="9.85546875" style="7" bestFit="1" customWidth="1"/>
    <col min="4" max="4" width="9.85546875" style="8" customWidth="1"/>
    <col min="5" max="5" width="10.140625" style="7" bestFit="1" customWidth="1"/>
    <col min="6" max="6" width="10.7109375" style="43" bestFit="1" customWidth="1"/>
    <col min="7" max="7" width="16" style="5" customWidth="1"/>
    <col min="8" max="8" width="2.7109375" style="6" customWidth="1"/>
    <col min="9" max="9" width="9.85546875" style="7" customWidth="1"/>
    <col min="10" max="10" width="8.7109375" style="7" bestFit="1" customWidth="1"/>
    <col min="11" max="12" width="8.7109375" style="5" bestFit="1" customWidth="1"/>
    <col min="13" max="13" width="2.7109375" style="6" customWidth="1"/>
    <col min="14" max="14" width="12.28515625" style="5" bestFit="1" customWidth="1"/>
    <col min="15" max="16" width="11.85546875" style="5" bestFit="1" customWidth="1"/>
    <col min="17" max="17" width="2.7109375" style="8" customWidth="1"/>
    <col min="18" max="19" width="8.7109375" style="7" bestFit="1" customWidth="1"/>
    <col min="20" max="21" width="8.7109375" style="5" bestFit="1" customWidth="1"/>
    <col min="22" max="16384" width="9.140625" style="5"/>
  </cols>
  <sheetData>
    <row r="1" spans="1:21">
      <c r="A1" s="53" t="s">
        <v>302</v>
      </c>
      <c r="B1" s="53"/>
    </row>
    <row r="2" spans="1:21">
      <c r="A2" s="47" t="s">
        <v>310</v>
      </c>
      <c r="B2" s="47"/>
    </row>
    <row r="3" spans="1:21" s="9" customFormat="1" ht="25.5">
      <c r="A3" s="11"/>
      <c r="B3" s="11"/>
      <c r="C3" s="49"/>
      <c r="D3" s="49"/>
      <c r="E3" s="11"/>
      <c r="F3" s="44"/>
      <c r="G3" s="10" t="s">
        <v>177</v>
      </c>
      <c r="H3" s="10"/>
      <c r="I3" s="11"/>
      <c r="J3" s="11"/>
      <c r="N3" s="12" t="s">
        <v>178</v>
      </c>
      <c r="O3" s="12" t="s">
        <v>179</v>
      </c>
      <c r="P3" s="12" t="s">
        <v>223</v>
      </c>
      <c r="Q3" s="13"/>
      <c r="R3" s="11"/>
      <c r="S3" s="11"/>
    </row>
    <row r="4" spans="1:21" s="6" customFormat="1">
      <c r="A4" s="8"/>
      <c r="B4" s="8"/>
      <c r="C4" s="47"/>
      <c r="D4" s="47"/>
      <c r="E4" s="8"/>
      <c r="F4" s="45"/>
      <c r="G4" s="14" t="s">
        <v>180</v>
      </c>
      <c r="H4" s="14"/>
      <c r="I4" s="8"/>
      <c r="J4" s="8"/>
      <c r="N4" s="15">
        <v>3.7499999999999999E-2</v>
      </c>
      <c r="O4" s="15">
        <v>7.2190000000000004E-2</v>
      </c>
      <c r="P4" s="16">
        <v>6.6769999999999996E-2</v>
      </c>
      <c r="Q4" s="16"/>
      <c r="R4" s="8"/>
      <c r="S4" s="8"/>
    </row>
    <row r="5" spans="1:21" s="6" customFormat="1">
      <c r="A5" s="47"/>
      <c r="B5" s="47"/>
      <c r="C5" s="47"/>
      <c r="D5" s="47"/>
      <c r="E5" s="8"/>
      <c r="F5" s="45"/>
      <c r="G5" s="14" t="s">
        <v>181</v>
      </c>
      <c r="H5" s="14"/>
      <c r="I5" s="8"/>
      <c r="J5" s="8"/>
      <c r="N5" s="17">
        <v>0.14280000000000001</v>
      </c>
      <c r="O5" s="17">
        <v>0.24490000000000001</v>
      </c>
      <c r="P5" s="18">
        <v>0.1749</v>
      </c>
      <c r="Q5" s="18"/>
      <c r="R5" s="8"/>
      <c r="S5" s="8"/>
    </row>
    <row r="6" spans="1:21" s="6" customFormat="1">
      <c r="A6" s="47"/>
      <c r="B6" s="47"/>
      <c r="C6" s="47"/>
      <c r="D6" s="47"/>
      <c r="E6" s="8"/>
      <c r="F6" s="45"/>
      <c r="G6" s="14" t="s">
        <v>397</v>
      </c>
      <c r="H6" s="14"/>
      <c r="I6" s="8"/>
      <c r="J6" s="8"/>
      <c r="N6" s="17">
        <v>0.2</v>
      </c>
      <c r="O6" s="17">
        <v>0.32</v>
      </c>
      <c r="P6" s="18">
        <v>0.192</v>
      </c>
      <c r="Q6" s="18"/>
      <c r="R6" s="8"/>
      <c r="S6" s="8"/>
    </row>
    <row r="7" spans="1:21" s="6" customFormat="1">
      <c r="A7" s="47"/>
      <c r="B7" s="47"/>
      <c r="C7" s="47"/>
      <c r="D7" s="47"/>
      <c r="E7" s="8"/>
      <c r="F7" s="45"/>
      <c r="G7" s="14" t="s">
        <v>396</v>
      </c>
      <c r="H7" s="14"/>
      <c r="I7" s="8"/>
      <c r="J7" s="8"/>
      <c r="N7" s="18">
        <v>0.33329999999999999</v>
      </c>
      <c r="O7" s="18">
        <v>0.44450000000000001</v>
      </c>
      <c r="P7" s="18">
        <v>0.14810000000000001</v>
      </c>
      <c r="Q7" s="18"/>
      <c r="R7" s="8"/>
      <c r="S7" s="8"/>
    </row>
    <row r="8" spans="1:21" s="6" customFormat="1">
      <c r="A8" s="47"/>
      <c r="B8" s="47"/>
      <c r="C8" s="47"/>
      <c r="D8" s="47"/>
      <c r="E8" s="8"/>
      <c r="F8" s="45"/>
      <c r="G8" s="14"/>
      <c r="H8" s="14"/>
      <c r="I8" s="8"/>
      <c r="J8" s="8"/>
      <c r="N8" s="17"/>
      <c r="O8" s="17"/>
      <c r="P8" s="18"/>
      <c r="Q8" s="18"/>
      <c r="R8" s="8"/>
      <c r="S8" s="8"/>
    </row>
    <row r="9" spans="1:21" s="6" customFormat="1">
      <c r="A9" s="8"/>
      <c r="B9" s="8"/>
      <c r="C9" s="8"/>
      <c r="D9" s="8"/>
      <c r="E9" s="8"/>
      <c r="F9" s="45"/>
      <c r="I9" s="8"/>
      <c r="J9" s="8"/>
      <c r="O9" s="8"/>
      <c r="P9" s="8"/>
      <c r="Q9" s="8"/>
      <c r="R9" s="8"/>
      <c r="S9" s="8"/>
    </row>
    <row r="10" spans="1:21" s="6" customFormat="1">
      <c r="A10" s="8"/>
      <c r="B10" s="8"/>
      <c r="C10" s="8"/>
      <c r="D10" s="8"/>
      <c r="E10" s="8"/>
      <c r="F10" s="45"/>
      <c r="I10" s="222" t="s">
        <v>246</v>
      </c>
      <c r="J10" s="223"/>
      <c r="K10" s="223"/>
      <c r="L10" s="224"/>
      <c r="M10" s="19"/>
      <c r="N10" s="225" t="s">
        <v>247</v>
      </c>
      <c r="O10" s="226"/>
      <c r="P10" s="227"/>
      <c r="Q10" s="19"/>
      <c r="R10" s="225" t="s">
        <v>248</v>
      </c>
      <c r="S10" s="226"/>
      <c r="T10" s="226"/>
      <c r="U10" s="227"/>
    </row>
    <row r="11" spans="1:21" s="13" customFormat="1" ht="38.25">
      <c r="A11" s="20" t="s">
        <v>182</v>
      </c>
      <c r="B11" s="20"/>
      <c r="C11" s="20" t="s">
        <v>183</v>
      </c>
      <c r="D11" s="20"/>
      <c r="E11" s="20" t="s">
        <v>184</v>
      </c>
      <c r="F11" s="46" t="s">
        <v>185</v>
      </c>
      <c r="G11" s="21" t="s">
        <v>186</v>
      </c>
      <c r="H11" s="21"/>
      <c r="I11" s="22" t="s">
        <v>249</v>
      </c>
      <c r="J11" s="22" t="s">
        <v>250</v>
      </c>
      <c r="K11" s="22" t="s">
        <v>251</v>
      </c>
      <c r="L11" s="22" t="s">
        <v>309</v>
      </c>
      <c r="M11" s="22"/>
      <c r="N11" s="22">
        <v>2015</v>
      </c>
      <c r="O11" s="22">
        <v>2016</v>
      </c>
      <c r="P11" s="22">
        <v>2017</v>
      </c>
      <c r="Q11" s="22"/>
      <c r="R11" s="22" t="s">
        <v>249</v>
      </c>
      <c r="S11" s="22" t="s">
        <v>250</v>
      </c>
      <c r="T11" s="22" t="s">
        <v>251</v>
      </c>
      <c r="U11" s="22" t="s">
        <v>309</v>
      </c>
    </row>
    <row r="12" spans="1:21">
      <c r="A12" s="7" t="s">
        <v>138</v>
      </c>
      <c r="B12" s="7"/>
      <c r="O12" s="7"/>
      <c r="P12" s="7"/>
    </row>
    <row r="13" spans="1:21">
      <c r="A13" s="7" t="s">
        <v>187</v>
      </c>
      <c r="B13" s="7"/>
      <c r="C13" s="50">
        <f>'CAP15.1-Allocations'!D14</f>
        <v>1627.9800915000001</v>
      </c>
      <c r="D13" s="50"/>
      <c r="E13" s="50">
        <f>'CAP15.1-Allocations'!E14</f>
        <v>330.59280463750002</v>
      </c>
      <c r="F13" s="45">
        <v>1.9199999999999998E-2</v>
      </c>
      <c r="G13" s="23">
        <f>ROUND(C13*F13,0)</f>
        <v>31</v>
      </c>
      <c r="H13" s="23"/>
      <c r="I13" s="24">
        <v>0</v>
      </c>
      <c r="J13" s="24">
        <f>F13*E13</f>
        <v>6.3473818490399996</v>
      </c>
      <c r="K13" s="14">
        <f>J13+G13</f>
        <v>37.347381849039998</v>
      </c>
      <c r="L13" s="14">
        <f>K13+G13</f>
        <v>68.347381849040005</v>
      </c>
      <c r="M13" s="14"/>
      <c r="N13" s="14">
        <f>ROUND(C13*$N$4,0)</f>
        <v>61</v>
      </c>
      <c r="O13" s="14">
        <f>ROUND(C13*$O$4,0)</f>
        <v>118</v>
      </c>
      <c r="P13" s="14">
        <f>ROUND(C13*$P$4,0)</f>
        <v>109</v>
      </c>
      <c r="Q13" s="24"/>
      <c r="R13" s="24"/>
      <c r="S13" s="24">
        <f>ROUND(((N13-J13)*-0.35)+R13,0)</f>
        <v>-19</v>
      </c>
      <c r="T13" s="14">
        <f>ROUND(((O13-G13)*-0.35)+S13,0)</f>
        <v>-49</v>
      </c>
      <c r="U13" s="14">
        <f>ROUND(((P13-G13)*-0.35)+T13,0)</f>
        <v>-76</v>
      </c>
    </row>
    <row r="14" spans="1:21">
      <c r="A14" s="7" t="s">
        <v>188</v>
      </c>
      <c r="B14" s="7"/>
      <c r="C14" s="50">
        <f>'CAP15.1-Allocations'!D19</f>
        <v>71341.140000900006</v>
      </c>
      <c r="D14" s="50"/>
      <c r="E14" s="50">
        <f>'CAP15.1-Allocations'!E19</f>
        <v>23211.4636922875</v>
      </c>
      <c r="F14" s="45">
        <v>1.8700000000000001E-2</v>
      </c>
      <c r="G14" s="23">
        <f t="shared" ref="G14:G15" si="0">ROUND(C14*F14,0)</f>
        <v>1334</v>
      </c>
      <c r="H14" s="23"/>
      <c r="I14" s="24">
        <v>0</v>
      </c>
      <c r="J14" s="24">
        <f>F14*E14</f>
        <v>434.05437104577629</v>
      </c>
      <c r="K14" s="14">
        <f>J14+G14</f>
        <v>1768.0543710457764</v>
      </c>
      <c r="L14" s="14">
        <f>K14+G14</f>
        <v>3102.0543710457764</v>
      </c>
      <c r="M14" s="14"/>
      <c r="N14" s="14">
        <f t="shared" ref="N14:N15" si="1">ROUND(C14*$N$4,0)</f>
        <v>2675</v>
      </c>
      <c r="O14" s="14">
        <f t="shared" ref="O14:O15" si="2">ROUND(C14*$O$4,0)</f>
        <v>5150</v>
      </c>
      <c r="P14" s="14">
        <f t="shared" ref="P14:P15" si="3">ROUND(C14*$P$4,0)</f>
        <v>4763</v>
      </c>
      <c r="Q14" s="24"/>
      <c r="R14" s="24"/>
      <c r="S14" s="24">
        <f t="shared" ref="S14" si="4">ROUND(((N14-J14)*-0.35)+R14,0)</f>
        <v>-784</v>
      </c>
      <c r="T14" s="14">
        <f>ROUND(((O14-G14)*-0.35)+S14,0)</f>
        <v>-2120</v>
      </c>
      <c r="U14" s="14">
        <f>ROUND(((P14-G14)*-0.35)+T14,0)</f>
        <v>-3320</v>
      </c>
    </row>
    <row r="15" spans="1:21">
      <c r="A15" s="7" t="s">
        <v>142</v>
      </c>
      <c r="B15" s="7"/>
      <c r="C15" s="50">
        <f>'CAP15.1-Allocations'!D24</f>
        <v>1760.13</v>
      </c>
      <c r="D15" s="50"/>
      <c r="E15" s="50">
        <f>'CAP15.1-Allocations'!E24</f>
        <v>806.72625000000005</v>
      </c>
      <c r="F15" s="45">
        <v>3.2300000000000002E-2</v>
      </c>
      <c r="G15" s="23">
        <f t="shared" si="0"/>
        <v>57</v>
      </c>
      <c r="H15" s="23"/>
      <c r="I15" s="24">
        <v>0</v>
      </c>
      <c r="J15" s="24">
        <f t="shared" ref="J15" si="5">F15*E15</f>
        <v>26.057257875000005</v>
      </c>
      <c r="K15" s="14">
        <f>J15+G15</f>
        <v>83.057257875000005</v>
      </c>
      <c r="L15" s="14">
        <f>K15+G15</f>
        <v>140.057257875</v>
      </c>
      <c r="M15" s="14"/>
      <c r="N15" s="14">
        <f t="shared" si="1"/>
        <v>66</v>
      </c>
      <c r="O15" s="14">
        <f t="shared" si="2"/>
        <v>127</v>
      </c>
      <c r="P15" s="14">
        <f t="shared" si="3"/>
        <v>118</v>
      </c>
      <c r="Q15" s="24"/>
      <c r="R15" s="24"/>
      <c r="S15" s="24">
        <f>ROUND(((N15-J15)*-0.35)+R15,0)</f>
        <v>-14</v>
      </c>
      <c r="T15" s="14">
        <f>ROUND(((O15-G15)*-0.35)+S15,0)</f>
        <v>-39</v>
      </c>
      <c r="U15" s="14">
        <f>ROUND(((P15-G15)*-0.35)+T15,0)</f>
        <v>-60</v>
      </c>
    </row>
    <row r="16" spans="1:21">
      <c r="A16" s="7" t="s">
        <v>189</v>
      </c>
      <c r="B16" s="190" t="s">
        <v>399</v>
      </c>
      <c r="C16" s="26">
        <f>SUM(C13:C15)</f>
        <v>74729.250092400005</v>
      </c>
      <c r="D16" s="190" t="s">
        <v>399</v>
      </c>
      <c r="E16" s="26">
        <f>SUM(E13:E15)</f>
        <v>24348.782746925001</v>
      </c>
      <c r="F16" s="8"/>
      <c r="G16" s="25">
        <f t="shared" ref="G16:U16" si="6">SUM(G13:G15)</f>
        <v>1422</v>
      </c>
      <c r="H16" s="23"/>
      <c r="I16" s="26">
        <f t="shared" si="6"/>
        <v>0</v>
      </c>
      <c r="J16" s="26">
        <f t="shared" si="6"/>
        <v>466.4590107698163</v>
      </c>
      <c r="K16" s="25">
        <f t="shared" si="6"/>
        <v>1888.4590107698164</v>
      </c>
      <c r="L16" s="25">
        <f t="shared" si="6"/>
        <v>3310.4590107698168</v>
      </c>
      <c r="M16" s="23"/>
      <c r="N16" s="25">
        <f t="shared" si="6"/>
        <v>2802</v>
      </c>
      <c r="O16" s="25">
        <f t="shared" si="6"/>
        <v>5395</v>
      </c>
      <c r="P16" s="25">
        <f t="shared" si="6"/>
        <v>4990</v>
      </c>
      <c r="Q16" s="27"/>
      <c r="R16" s="26">
        <f t="shared" si="6"/>
        <v>0</v>
      </c>
      <c r="S16" s="26">
        <f t="shared" si="6"/>
        <v>-817</v>
      </c>
      <c r="T16" s="25">
        <f t="shared" si="6"/>
        <v>-2208</v>
      </c>
      <c r="U16" s="25">
        <f t="shared" si="6"/>
        <v>-3456</v>
      </c>
    </row>
    <row r="17" spans="1:21" ht="6" customHeight="1">
      <c r="A17" s="7"/>
      <c r="B17" s="7"/>
      <c r="C17" s="29"/>
      <c r="D17" s="27"/>
      <c r="E17" s="29"/>
      <c r="G17" s="28"/>
      <c r="H17" s="23"/>
      <c r="I17" s="29"/>
      <c r="J17" s="29"/>
      <c r="K17" s="28"/>
      <c r="L17" s="28"/>
      <c r="M17" s="23"/>
      <c r="N17" s="28"/>
      <c r="O17" s="28"/>
      <c r="P17" s="28"/>
      <c r="Q17" s="27"/>
      <c r="R17" s="29"/>
      <c r="S17" s="29"/>
      <c r="T17" s="28"/>
      <c r="U17" s="28"/>
    </row>
    <row r="18" spans="1:21">
      <c r="A18" s="7" t="s">
        <v>190</v>
      </c>
      <c r="B18" s="7"/>
      <c r="C18" s="51">
        <f>'CAP15.1-Allocations'!D29+'CAP15.1-Allocations'!D32</f>
        <v>26472.353129899999</v>
      </c>
      <c r="D18" s="50"/>
      <c r="E18" s="51">
        <f>'CAP15.1-Allocations'!E29+'CAP15.1-Allocations'!E32</f>
        <v>5476.0777169125004</v>
      </c>
      <c r="F18" s="45">
        <v>1.8200000000000001E-2</v>
      </c>
      <c r="G18" s="30">
        <f>ROUND(C18*F18,0)</f>
        <v>482</v>
      </c>
      <c r="H18" s="23"/>
      <c r="I18" s="31">
        <v>0</v>
      </c>
      <c r="J18" s="31">
        <f t="shared" ref="J18" si="7">F18*E18</f>
        <v>99.664614447807509</v>
      </c>
      <c r="K18" s="32">
        <f>J18+G18</f>
        <v>581.66461444780748</v>
      </c>
      <c r="L18" s="32">
        <f>K18+G18</f>
        <v>1063.6646144478075</v>
      </c>
      <c r="M18" s="14"/>
      <c r="N18" s="32">
        <f>ROUND(C18*$N$4,0)</f>
        <v>993</v>
      </c>
      <c r="O18" s="32">
        <f>ROUND(C18*$O$4,0)</f>
        <v>1911</v>
      </c>
      <c r="P18" s="32">
        <f>ROUND(C18*$P$4,0)</f>
        <v>1768</v>
      </c>
      <c r="Q18" s="24"/>
      <c r="R18" s="31"/>
      <c r="S18" s="31">
        <f>ROUND(((N18-J18)*-0.35)+R18,0)</f>
        <v>-313</v>
      </c>
      <c r="T18" s="32">
        <f>ROUND(((O18-G18)*-0.35)+S18,0)</f>
        <v>-813</v>
      </c>
      <c r="U18" s="32">
        <f>ROUND(((P18-G18)*-0.35)+T18,0)</f>
        <v>-1263</v>
      </c>
    </row>
    <row r="19" spans="1:21" ht="6" customHeight="1">
      <c r="A19" s="7"/>
      <c r="B19" s="7"/>
      <c r="C19" s="29"/>
      <c r="D19" s="27"/>
      <c r="E19" s="29"/>
      <c r="G19" s="28"/>
      <c r="H19" s="23"/>
      <c r="I19" s="29"/>
      <c r="J19" s="29"/>
      <c r="K19" s="28"/>
      <c r="L19" s="28"/>
      <c r="M19" s="23"/>
      <c r="N19" s="28"/>
      <c r="O19" s="28"/>
      <c r="P19" s="28"/>
      <c r="Q19" s="27"/>
      <c r="R19" s="27"/>
      <c r="S19" s="29"/>
      <c r="T19" s="28"/>
      <c r="U19" s="28"/>
    </row>
    <row r="20" spans="1:21">
      <c r="A20" s="7" t="s">
        <v>191</v>
      </c>
      <c r="B20" s="7"/>
      <c r="C20" s="29"/>
      <c r="D20" s="27"/>
      <c r="E20" s="29"/>
      <c r="G20" s="28"/>
      <c r="H20" s="23"/>
      <c r="I20" s="29"/>
      <c r="J20" s="29"/>
      <c r="K20" s="28"/>
      <c r="L20" s="28"/>
      <c r="M20" s="23"/>
      <c r="N20" s="28"/>
      <c r="O20" s="28"/>
      <c r="P20" s="28"/>
      <c r="Q20" s="27"/>
      <c r="R20" s="27"/>
      <c r="S20" s="29"/>
      <c r="T20" s="28"/>
      <c r="U20" s="28"/>
    </row>
    <row r="21" spans="1:21">
      <c r="A21" s="7" t="s">
        <v>192</v>
      </c>
      <c r="B21" s="7"/>
      <c r="C21" s="50">
        <f>'CAP15.1-Allocations'!D37</f>
        <v>10856.986000000001</v>
      </c>
      <c r="D21" s="50"/>
      <c r="E21" s="50">
        <f>'CAP15.1-Allocations'!E37</f>
        <v>3753.8067499999997</v>
      </c>
      <c r="F21" s="45">
        <v>2.92E-2</v>
      </c>
      <c r="G21" s="23">
        <f>ROUND(C21*F21,0)</f>
        <v>317</v>
      </c>
      <c r="H21" s="23"/>
      <c r="I21" s="24">
        <v>0</v>
      </c>
      <c r="J21" s="24">
        <f t="shared" ref="J21:J22" si="8">F21*E21</f>
        <v>109.6111571</v>
      </c>
      <c r="K21" s="14">
        <f>J21+G21</f>
        <v>426.61115710000001</v>
      </c>
      <c r="L21" s="14">
        <f>K21+G21</f>
        <v>743.61115710000001</v>
      </c>
      <c r="M21" s="14"/>
      <c r="N21" s="14">
        <f>ROUND(C21*$N$4,0)</f>
        <v>407</v>
      </c>
      <c r="O21" s="14">
        <f>ROUND(C21*$O$4,0)</f>
        <v>784</v>
      </c>
      <c r="P21" s="14">
        <f>ROUND(C21*$P$4,0)</f>
        <v>725</v>
      </c>
      <c r="Q21" s="24"/>
      <c r="R21" s="24"/>
      <c r="S21" s="24">
        <f t="shared" ref="S21" si="9">ROUND(((N21-J21)*-0.35)+R21,0)</f>
        <v>-104</v>
      </c>
      <c r="T21" s="14">
        <f>ROUND(((O21-G21)*-0.35)+S21,0)</f>
        <v>-267</v>
      </c>
      <c r="U21" s="14">
        <f>ROUND(((P21-G21)*-0.35)+T21,0)</f>
        <v>-410</v>
      </c>
    </row>
    <row r="22" spans="1:21">
      <c r="A22" s="7" t="s">
        <v>40</v>
      </c>
      <c r="B22" s="7"/>
      <c r="C22" s="50">
        <f>'CAP15.1-Allocations'!D101</f>
        <v>37063.660438640916</v>
      </c>
      <c r="D22" s="50"/>
      <c r="E22" s="50">
        <f>'CAP15.1-Allocations'!E101</f>
        <v>16135.808451562703</v>
      </c>
      <c r="F22" s="45">
        <v>2.92E-2</v>
      </c>
      <c r="G22" s="23">
        <f>ROUND(C22*F22,0)</f>
        <v>1082</v>
      </c>
      <c r="H22" s="23"/>
      <c r="I22" s="24">
        <v>0</v>
      </c>
      <c r="J22" s="24">
        <f t="shared" si="8"/>
        <v>471.16560678563093</v>
      </c>
      <c r="K22" s="14">
        <f>J22+G22</f>
        <v>1553.1656067856309</v>
      </c>
      <c r="L22" s="14">
        <f>K22+G22</f>
        <v>2635.1656067856311</v>
      </c>
      <c r="M22" s="14"/>
      <c r="N22" s="14">
        <f t="shared" ref="N22" si="10">ROUND(C22*$N$4,0)</f>
        <v>1390</v>
      </c>
      <c r="O22" s="14">
        <f>ROUND(C22*$O$4,0)</f>
        <v>2676</v>
      </c>
      <c r="P22" s="14">
        <f>ROUND(C22*$P$4,0)</f>
        <v>2475</v>
      </c>
      <c r="Q22" s="24"/>
      <c r="R22" s="24"/>
      <c r="S22" s="24">
        <f>ROUND(((N22-J22)*-0.35)+R22,0)</f>
        <v>-322</v>
      </c>
      <c r="T22" s="14">
        <f>ROUND(((O22-G22)*-0.35)+S22,0)</f>
        <v>-880</v>
      </c>
      <c r="U22" s="14">
        <f>ROUND(((P22-G22)*-0.35)+T22,0)</f>
        <v>-1368</v>
      </c>
    </row>
    <row r="23" spans="1:21">
      <c r="A23" s="7" t="s">
        <v>189</v>
      </c>
      <c r="B23" s="7"/>
      <c r="C23" s="26">
        <f>SUM(C21:C22)</f>
        <v>47920.646438640921</v>
      </c>
      <c r="D23" s="27"/>
      <c r="E23" s="26">
        <f t="shared" ref="E23:U23" si="11">SUM(E21:E22)</f>
        <v>19889.615201562701</v>
      </c>
      <c r="F23" s="8"/>
      <c r="G23" s="25">
        <f t="shared" si="11"/>
        <v>1399</v>
      </c>
      <c r="H23" s="23"/>
      <c r="I23" s="26">
        <f t="shared" si="11"/>
        <v>0</v>
      </c>
      <c r="J23" s="26">
        <f t="shared" si="11"/>
        <v>580.77676388563088</v>
      </c>
      <c r="K23" s="25">
        <f>SUM(K21:K22)</f>
        <v>1979.7767638856308</v>
      </c>
      <c r="L23" s="25">
        <f>SUM(L21:L22)</f>
        <v>3378.7767638856312</v>
      </c>
      <c r="M23" s="23"/>
      <c r="N23" s="25">
        <f t="shared" si="11"/>
        <v>1797</v>
      </c>
      <c r="O23" s="25">
        <f t="shared" si="11"/>
        <v>3460</v>
      </c>
      <c r="P23" s="25">
        <f t="shared" si="11"/>
        <v>3200</v>
      </c>
      <c r="Q23" s="27"/>
      <c r="R23" s="26">
        <f t="shared" si="11"/>
        <v>0</v>
      </c>
      <c r="S23" s="26">
        <f t="shared" si="11"/>
        <v>-426</v>
      </c>
      <c r="T23" s="25">
        <f t="shared" si="11"/>
        <v>-1147</v>
      </c>
      <c r="U23" s="25">
        <f t="shared" si="11"/>
        <v>-1778</v>
      </c>
    </row>
    <row r="24" spans="1:21" ht="6" customHeight="1">
      <c r="A24" s="7"/>
      <c r="B24" s="7"/>
      <c r="C24" s="29"/>
      <c r="D24" s="27"/>
      <c r="E24" s="29"/>
      <c r="G24" s="28"/>
      <c r="H24" s="23"/>
      <c r="I24" s="29"/>
      <c r="J24" s="29"/>
      <c r="K24" s="28"/>
      <c r="L24" s="28"/>
      <c r="M24" s="23"/>
      <c r="N24" s="28"/>
      <c r="O24" s="28"/>
      <c r="P24" s="28"/>
      <c r="Q24" s="27"/>
      <c r="R24" s="29"/>
      <c r="S24" s="29"/>
      <c r="T24" s="28"/>
      <c r="U24" s="28"/>
    </row>
    <row r="25" spans="1:21">
      <c r="A25" s="7" t="s">
        <v>131</v>
      </c>
      <c r="B25" s="7"/>
      <c r="C25" s="50">
        <f>'CAP15.1-Allocations'!D111+'CAP15.1-Allocations'!D121+'CAP15.1-Allocations'!D129+'CAP15.1-Allocations'!D139+'CAP15.1-Allocations'!D144</f>
        <v>23695.217266153501</v>
      </c>
      <c r="D25" s="50"/>
      <c r="E25" s="50">
        <f>'CAP15.1-Allocations'!E111+'CAP15.1-Allocations'!E121+'CAP15.1-Allocations'!E129+'CAP15.1-Allocations'!E139+'CAP15.1-Allocations'!E144</f>
        <v>6255.8867757928865</v>
      </c>
      <c r="F25" s="45">
        <v>3.8100000000000002E-2</v>
      </c>
      <c r="G25" s="23">
        <f t="shared" ref="G25:G26" si="12">ROUND(C25*F25,0)</f>
        <v>903</v>
      </c>
      <c r="H25" s="23"/>
      <c r="I25" s="24">
        <v>0</v>
      </c>
      <c r="J25" s="24">
        <f t="shared" ref="J25:J26" si="13">F25*E25</f>
        <v>238.34928615770897</v>
      </c>
      <c r="K25" s="14">
        <f>J25+G25</f>
        <v>1141.349286157709</v>
      </c>
      <c r="L25" s="14">
        <f>K25+G25</f>
        <v>2044.349286157709</v>
      </c>
      <c r="M25" s="14"/>
      <c r="N25" s="14">
        <f>ROUND(C25*$N$5,0)</f>
        <v>3384</v>
      </c>
      <c r="O25" s="14">
        <f>ROUND(C25*$O$5,0)</f>
        <v>5803</v>
      </c>
      <c r="P25" s="14">
        <f>ROUND(C25*$P$5,0)</f>
        <v>4144</v>
      </c>
      <c r="Q25" s="24"/>
      <c r="R25" s="24"/>
      <c r="S25" s="24">
        <f>ROUND(((N25-J25)*-0.35)+R25,0)</f>
        <v>-1101</v>
      </c>
      <c r="T25" s="14">
        <f>ROUND(((O25-G25)*-0.35)+S25,0)</f>
        <v>-2816</v>
      </c>
      <c r="U25" s="14">
        <f>ROUND(((P25-G25)*-0.35)+T25,0)</f>
        <v>-3950</v>
      </c>
    </row>
    <row r="26" spans="1:21">
      <c r="A26" s="7" t="s">
        <v>193</v>
      </c>
      <c r="B26" s="7"/>
      <c r="C26" s="50">
        <f>'CAP15.1-Allocations'!D153</f>
        <v>3715.0138640999999</v>
      </c>
      <c r="D26" s="50"/>
      <c r="E26" s="50">
        <f>'CAP15.1-Allocations'!E153</f>
        <v>1858.0100269469854</v>
      </c>
      <c r="F26" s="45">
        <v>8.9200000000000002E-2</v>
      </c>
      <c r="G26" s="23">
        <f t="shared" si="12"/>
        <v>331</v>
      </c>
      <c r="H26" s="23"/>
      <c r="I26" s="24">
        <v>0</v>
      </c>
      <c r="J26" s="24">
        <f t="shared" si="13"/>
        <v>165.73449440367111</v>
      </c>
      <c r="K26" s="14">
        <f>J26+G26</f>
        <v>496.73449440367108</v>
      </c>
      <c r="L26" s="14">
        <f>K26+G26</f>
        <v>827.73449440367108</v>
      </c>
      <c r="M26" s="14"/>
      <c r="N26" s="14">
        <f>ROUND(C26*$N$6,0)</f>
        <v>743</v>
      </c>
      <c r="O26" s="14">
        <f>ROUND(C26*$O$6,0)</f>
        <v>1189</v>
      </c>
      <c r="P26" s="14">
        <f>ROUND(C26*$P$6,0)</f>
        <v>713</v>
      </c>
      <c r="Q26" s="24"/>
      <c r="R26" s="24"/>
      <c r="S26" s="24">
        <f t="shared" ref="S26" si="14">ROUND(((N26-J26)*-0.35)+R26,0)</f>
        <v>-202</v>
      </c>
      <c r="T26" s="14">
        <f>ROUND(((O26-G26)*-0.35)+S26,0)</f>
        <v>-502</v>
      </c>
      <c r="U26" s="14">
        <f>ROUND(((P26-G26)*-0.35)+T26,0)</f>
        <v>-636</v>
      </c>
    </row>
    <row r="27" spans="1:21">
      <c r="A27" s="7" t="s">
        <v>189</v>
      </c>
      <c r="B27" s="7"/>
      <c r="C27" s="26">
        <f>SUM(C25:C26)</f>
        <v>27410.231130253502</v>
      </c>
      <c r="D27" s="27"/>
      <c r="E27" s="26">
        <f t="shared" ref="E27:U27" si="15">SUM(E25:E26)</f>
        <v>8113.8968027398714</v>
      </c>
      <c r="F27" s="8"/>
      <c r="G27" s="25">
        <f t="shared" si="15"/>
        <v>1234</v>
      </c>
      <c r="H27" s="23"/>
      <c r="I27" s="26">
        <f t="shared" si="15"/>
        <v>0</v>
      </c>
      <c r="J27" s="26">
        <f t="shared" si="15"/>
        <v>404.08378056138008</v>
      </c>
      <c r="K27" s="26">
        <f t="shared" si="15"/>
        <v>1638.0837805613801</v>
      </c>
      <c r="L27" s="26">
        <f t="shared" si="15"/>
        <v>2872.0837805613801</v>
      </c>
      <c r="M27" s="23"/>
      <c r="N27" s="25">
        <f t="shared" si="15"/>
        <v>4127</v>
      </c>
      <c r="O27" s="25">
        <f t="shared" si="15"/>
        <v>6992</v>
      </c>
      <c r="P27" s="25">
        <f t="shared" si="15"/>
        <v>4857</v>
      </c>
      <c r="Q27" s="27"/>
      <c r="R27" s="26">
        <f t="shared" si="15"/>
        <v>0</v>
      </c>
      <c r="S27" s="26">
        <f t="shared" si="15"/>
        <v>-1303</v>
      </c>
      <c r="T27" s="25">
        <f t="shared" si="15"/>
        <v>-3318</v>
      </c>
      <c r="U27" s="25">
        <f t="shared" si="15"/>
        <v>-4586</v>
      </c>
    </row>
    <row r="28" spans="1:21">
      <c r="A28" s="7"/>
      <c r="B28" s="7"/>
      <c r="C28" s="29"/>
      <c r="D28" s="27"/>
      <c r="E28" s="29"/>
      <c r="G28" s="28"/>
      <c r="H28" s="23"/>
      <c r="I28" s="29"/>
      <c r="J28" s="29"/>
      <c r="K28" s="28"/>
      <c r="L28" s="28"/>
      <c r="M28" s="23"/>
      <c r="N28" s="28"/>
      <c r="O28" s="28"/>
      <c r="P28" s="28"/>
      <c r="Q28" s="27"/>
      <c r="R28" s="33"/>
      <c r="S28" s="33"/>
      <c r="T28" s="28"/>
      <c r="U28" s="28"/>
    </row>
    <row r="29" spans="1:21">
      <c r="A29" s="7" t="s">
        <v>390</v>
      </c>
      <c r="B29" s="7"/>
      <c r="C29" s="29">
        <f>'CAP15.1-Allocations'!D180*0.1</f>
        <v>4588.6848195619887</v>
      </c>
      <c r="D29" s="27"/>
      <c r="E29" s="29">
        <f>'CAP15.1-Allocations'!E180*0.1</f>
        <v>3921.5587423123452</v>
      </c>
      <c r="F29" s="43">
        <v>0.23699999999999999</v>
      </c>
      <c r="G29" s="23">
        <f t="shared" ref="G29" si="16">ROUND(C29*F29,0)</f>
        <v>1088</v>
      </c>
      <c r="H29" s="23"/>
      <c r="I29" s="24">
        <v>0</v>
      </c>
      <c r="J29" s="24">
        <f>F29*E29</f>
        <v>929.40942192802572</v>
      </c>
      <c r="K29" s="14">
        <f>J29+G29</f>
        <v>2017.4094219280257</v>
      </c>
      <c r="L29" s="14">
        <f>K29+G29</f>
        <v>3105.4094219280259</v>
      </c>
      <c r="M29" s="14"/>
      <c r="N29" s="14">
        <f>ROUND(C29*$N$6,0)</f>
        <v>918</v>
      </c>
      <c r="O29" s="14">
        <f>ROUND(C29*$O$6,0)</f>
        <v>1468</v>
      </c>
      <c r="P29" s="14">
        <f>ROUND(C29*$P$6,0)</f>
        <v>881</v>
      </c>
      <c r="Q29" s="24"/>
      <c r="R29" s="24"/>
      <c r="S29" s="24">
        <f>ROUND(((N29-J29)*-0.35)+R29,0)</f>
        <v>4</v>
      </c>
      <c r="T29" s="14">
        <f>ROUND(((O29-G29)*-0.35)+S29,0)</f>
        <v>-129</v>
      </c>
      <c r="U29" s="14">
        <f>ROUND(((P29-G29)*-0.35)+T29,0)</f>
        <v>-57</v>
      </c>
    </row>
    <row r="30" spans="1:21">
      <c r="A30" s="7" t="s">
        <v>392</v>
      </c>
      <c r="B30" s="7"/>
      <c r="C30" s="50">
        <f>('CAP15.1-Allocations'!D167+'CAP15.1-Allocations'!D194)*0.61</f>
        <v>8755.2964299649702</v>
      </c>
      <c r="D30" s="50"/>
      <c r="E30" s="50">
        <f>('CAP15.1-Allocations'!E167+'CAP15.1-Allocations'!E194)*0.61</f>
        <v>3293.7078489271985</v>
      </c>
      <c r="F30" s="45">
        <v>0.23699999999999999</v>
      </c>
      <c r="G30" s="23">
        <f t="shared" ref="G30" si="17">ROUND(C30*F30,0)</f>
        <v>2075</v>
      </c>
      <c r="H30" s="23"/>
      <c r="I30" s="24">
        <v>0</v>
      </c>
      <c r="J30" s="24">
        <f t="shared" ref="J30" si="18">F30*E30</f>
        <v>780.60876019574596</v>
      </c>
      <c r="K30" s="14">
        <f>J30+G30</f>
        <v>2855.6087601957461</v>
      </c>
      <c r="L30" s="14">
        <f>K30+G30</f>
        <v>4930.6087601957461</v>
      </c>
      <c r="M30" s="14"/>
      <c r="N30" s="14">
        <f>ROUND(C30*$N$6,0)</f>
        <v>1751</v>
      </c>
      <c r="O30" s="14">
        <f>ROUND(C30*$O$6,0)</f>
        <v>2802</v>
      </c>
      <c r="P30" s="14">
        <f>ROUND(C30*$P$6,0)</f>
        <v>1681</v>
      </c>
      <c r="Q30" s="24"/>
      <c r="R30" s="24"/>
      <c r="S30" s="24">
        <f t="shared" ref="S30" si="19">ROUND(((N30-J30)*-0.35)+R30,0)</f>
        <v>-340</v>
      </c>
      <c r="T30" s="14">
        <f>ROUND(((O30-G30)*-0.35)+S30,0)</f>
        <v>-594</v>
      </c>
      <c r="U30" s="14">
        <f>ROUND(((P30-G30)*-0.35)+T30,0)</f>
        <v>-456</v>
      </c>
    </row>
    <row r="31" spans="1:21">
      <c r="A31" s="7" t="s">
        <v>391</v>
      </c>
      <c r="B31" s="7"/>
      <c r="C31" s="29">
        <f>'CAP15.1-Allocations'!D180*0.9</f>
        <v>41298.163376057899</v>
      </c>
      <c r="D31" s="50"/>
      <c r="E31" s="29">
        <f>'CAP15.1-Allocations'!E180*0.9</f>
        <v>35294.028680811105</v>
      </c>
      <c r="F31" s="45">
        <v>6.6600000000000006E-2</v>
      </c>
      <c r="G31" s="23">
        <f t="shared" ref="G31:G32" si="20">ROUND(C31*F31,0)</f>
        <v>2750</v>
      </c>
      <c r="H31" s="23"/>
      <c r="I31" s="24">
        <v>0</v>
      </c>
      <c r="J31" s="24">
        <f t="shared" ref="J31:J32" si="21">F31*E31</f>
        <v>2350.5823101420197</v>
      </c>
      <c r="K31" s="14">
        <f t="shared" ref="K31:K32" si="22">J31+G31</f>
        <v>5100.5823101420192</v>
      </c>
      <c r="L31" s="14">
        <f t="shared" ref="L31" si="23">K31+G31</f>
        <v>7850.5823101420192</v>
      </c>
      <c r="M31" s="14"/>
      <c r="N31" s="14">
        <f>ROUND(C31*$N$7,0)</f>
        <v>13765</v>
      </c>
      <c r="O31" s="14">
        <f>ROUND(C31*$O$7,0)</f>
        <v>18357</v>
      </c>
      <c r="P31" s="14">
        <f>ROUND(C31*$P$7,0)</f>
        <v>6116</v>
      </c>
      <c r="Q31" s="24"/>
      <c r="R31" s="24"/>
      <c r="S31" s="24">
        <f t="shared" ref="S31:S32" si="24">ROUND(((N31-J31)*-0.35)+R31,0)</f>
        <v>-3995</v>
      </c>
      <c r="T31" s="14">
        <f t="shared" ref="T31:T32" si="25">ROUND(((O31-G31)*-0.35)+S31,0)</f>
        <v>-9457</v>
      </c>
      <c r="U31" s="14">
        <f t="shared" ref="U31:U32" si="26">ROUND(((P31-G31)*-0.35)+T31,0)</f>
        <v>-10635</v>
      </c>
    </row>
    <row r="32" spans="1:21">
      <c r="A32" s="5" t="s">
        <v>396</v>
      </c>
      <c r="B32" s="7"/>
      <c r="C32" s="50">
        <f>('CAP15.1-Allocations'!D167+'CAP15.1-Allocations'!D194)*0.39</f>
        <v>5597.6485371907193</v>
      </c>
      <c r="D32" s="50"/>
      <c r="E32" s="50">
        <f>('CAP15.1-Allocations'!E167+'CAP15.1-Allocations'!E194)*0.39</f>
        <v>2105.8132148878808</v>
      </c>
      <c r="F32" s="45">
        <v>0.2</v>
      </c>
      <c r="G32" s="30">
        <f t="shared" si="20"/>
        <v>1120</v>
      </c>
      <c r="H32" s="23"/>
      <c r="I32" s="31">
        <v>0</v>
      </c>
      <c r="J32" s="31">
        <f t="shared" si="21"/>
        <v>421.16264297757618</v>
      </c>
      <c r="K32" s="32">
        <f t="shared" si="22"/>
        <v>1541.1626429775761</v>
      </c>
      <c r="L32" s="32">
        <f>K32+G32</f>
        <v>2661.1626429775761</v>
      </c>
      <c r="M32" s="14"/>
      <c r="N32" s="32">
        <f>ROUND(C32*$N$7,0)</f>
        <v>1866</v>
      </c>
      <c r="O32" s="32">
        <f>ROUND(C32*$O$7,0)</f>
        <v>2488</v>
      </c>
      <c r="P32" s="32">
        <f>ROUND(C32*$P$7,0)</f>
        <v>829</v>
      </c>
      <c r="Q32" s="24"/>
      <c r="R32" s="31"/>
      <c r="S32" s="31">
        <f t="shared" si="24"/>
        <v>-506</v>
      </c>
      <c r="T32" s="32">
        <f t="shared" si="25"/>
        <v>-985</v>
      </c>
      <c r="U32" s="32">
        <f t="shared" si="26"/>
        <v>-883</v>
      </c>
    </row>
    <row r="33" spans="1:21">
      <c r="A33" s="5" t="s">
        <v>402</v>
      </c>
      <c r="C33" s="192">
        <f>SUM(C29:C32)</f>
        <v>60239.793162775575</v>
      </c>
      <c r="E33" s="192">
        <f>SUM(E29:E32)</f>
        <v>44615.10848693853</v>
      </c>
      <c r="G33" s="192">
        <f>SUM(G29:G32)</f>
        <v>7033</v>
      </c>
      <c r="I33" s="192">
        <f t="shared" ref="I33:L33" si="27">SUM(I29:I32)</f>
        <v>0</v>
      </c>
      <c r="J33" s="192">
        <f t="shared" si="27"/>
        <v>4481.7631352433673</v>
      </c>
      <c r="K33" s="192">
        <f t="shared" si="27"/>
        <v>11514.763135243367</v>
      </c>
      <c r="L33" s="192">
        <f t="shared" si="27"/>
        <v>18547.763135243367</v>
      </c>
      <c r="N33" s="192">
        <f t="shared" ref="N33:P33" si="28">SUM(N29:N32)</f>
        <v>18300</v>
      </c>
      <c r="O33" s="192">
        <f t="shared" si="28"/>
        <v>25115</v>
      </c>
      <c r="P33" s="192">
        <f t="shared" si="28"/>
        <v>9507</v>
      </c>
      <c r="R33" s="192">
        <f t="shared" ref="R33:U33" si="29">SUM(R29:R32)</f>
        <v>0</v>
      </c>
      <c r="S33" s="192">
        <f t="shared" si="29"/>
        <v>-4837</v>
      </c>
      <c r="T33" s="192">
        <f t="shared" si="29"/>
        <v>-11165</v>
      </c>
      <c r="U33" s="192">
        <f t="shared" si="29"/>
        <v>-12031</v>
      </c>
    </row>
    <row r="35" spans="1:21">
      <c r="A35" s="7"/>
      <c r="B35" s="7"/>
      <c r="C35" s="29"/>
      <c r="D35" s="27"/>
      <c r="E35" s="29"/>
      <c r="G35" s="28"/>
      <c r="H35" s="23"/>
      <c r="I35" s="29"/>
      <c r="J35" s="29"/>
      <c r="K35" s="28"/>
      <c r="L35" s="28"/>
      <c r="M35" s="23"/>
      <c r="N35" s="28"/>
      <c r="O35" s="28"/>
      <c r="P35" s="28"/>
      <c r="Q35" s="27"/>
      <c r="R35" s="29"/>
      <c r="S35" s="29"/>
      <c r="T35" s="28"/>
      <c r="U35" s="28"/>
    </row>
    <row r="36" spans="1:21" s="34" customFormat="1" ht="13.5" thickBot="1">
      <c r="A36" s="52" t="s">
        <v>194</v>
      </c>
      <c r="B36" s="52"/>
      <c r="C36" s="37">
        <f>SUM(C16,C18,C23,C27,C33)</f>
        <v>236772.27395397</v>
      </c>
      <c r="D36" s="38"/>
      <c r="E36" s="37">
        <f>SUM(E16,E18,E23,E27,E33)</f>
        <v>102443.4809550786</v>
      </c>
      <c r="F36" s="47"/>
      <c r="G36" s="37">
        <f>SUM(G16,G18,G23,G27,G33)</f>
        <v>11570</v>
      </c>
      <c r="H36" s="36"/>
      <c r="I36" s="37">
        <f t="shared" ref="I36:L36" si="30">SUM(I16,I18,I23,I27,I33)</f>
        <v>0</v>
      </c>
      <c r="J36" s="37">
        <f t="shared" si="30"/>
        <v>6032.7473049080018</v>
      </c>
      <c r="K36" s="37">
        <f t="shared" si="30"/>
        <v>17602.747304908004</v>
      </c>
      <c r="L36" s="37">
        <f t="shared" si="30"/>
        <v>29172.747304908004</v>
      </c>
      <c r="M36" s="36"/>
      <c r="N36" s="37">
        <f>SUM(N16,N18,N23,N27,N33)</f>
        <v>28019</v>
      </c>
      <c r="O36" s="37">
        <f t="shared" ref="O36:P36" si="31">SUM(O16,O18,O23,O27,O33)</f>
        <v>42873</v>
      </c>
      <c r="P36" s="37">
        <f t="shared" si="31"/>
        <v>24322</v>
      </c>
      <c r="Q36" s="38"/>
      <c r="R36" s="37">
        <f t="shared" ref="R36:U36" si="32">SUM(R16,R18,R23,R27,R33)</f>
        <v>0</v>
      </c>
      <c r="S36" s="37">
        <f>SUM(S16,S18,S23,S27,S33)</f>
        <v>-7696</v>
      </c>
      <c r="T36" s="37">
        <f t="shared" si="32"/>
        <v>-18651</v>
      </c>
      <c r="U36" s="37">
        <f t="shared" si="32"/>
        <v>-23114</v>
      </c>
    </row>
    <row r="37" spans="1:21" s="34" customFormat="1">
      <c r="A37" s="52"/>
      <c r="B37" s="52"/>
      <c r="C37" s="191" t="s">
        <v>400</v>
      </c>
      <c r="D37" s="191"/>
      <c r="E37" s="191" t="s">
        <v>400</v>
      </c>
      <c r="F37" s="48"/>
      <c r="G37" s="221" t="s">
        <v>400</v>
      </c>
      <c r="H37" s="221"/>
      <c r="I37" s="40"/>
      <c r="J37" s="221" t="s">
        <v>400</v>
      </c>
      <c r="K37" s="221"/>
      <c r="L37" s="39"/>
      <c r="M37" s="36"/>
      <c r="N37" s="39"/>
      <c r="O37" s="39"/>
      <c r="P37" s="39"/>
      <c r="Q37" s="38"/>
      <c r="R37" s="40"/>
      <c r="S37" s="221" t="s">
        <v>400</v>
      </c>
      <c r="T37" s="221"/>
      <c r="U37" s="39"/>
    </row>
    <row r="38" spans="1:21">
      <c r="C38" s="29"/>
      <c r="D38" s="27"/>
      <c r="E38" s="29"/>
      <c r="G38" s="28"/>
      <c r="H38" s="23"/>
      <c r="I38" s="29"/>
      <c r="J38" s="29"/>
      <c r="K38" s="28"/>
      <c r="L38" s="28"/>
      <c r="M38" s="23"/>
      <c r="N38" s="28"/>
      <c r="O38" s="28"/>
      <c r="P38" s="28"/>
      <c r="Q38" s="27"/>
      <c r="R38" s="29"/>
      <c r="S38" s="29"/>
      <c r="T38" s="28"/>
      <c r="U38" s="28"/>
    </row>
    <row r="39" spans="1:21">
      <c r="A39" s="5" t="s">
        <v>195</v>
      </c>
      <c r="C39" s="51">
        <f>'CAP15.1-Allocations'!D208</f>
        <v>769.12911207000002</v>
      </c>
      <c r="D39" s="50"/>
      <c r="E39" s="51">
        <f>'CAP15.1-Allocations'!E208</f>
        <v>405.12953057377501</v>
      </c>
      <c r="F39" s="45">
        <v>1.5900000000000001E-2</v>
      </c>
      <c r="G39" s="30">
        <f>ROUND(C39*F39,0)</f>
        <v>12</v>
      </c>
      <c r="H39" s="23"/>
      <c r="I39" s="31">
        <v>0</v>
      </c>
      <c r="J39" s="31">
        <f t="shared" ref="J39" si="33">F39*E39</f>
        <v>6.4415595361230231</v>
      </c>
      <c r="K39" s="32">
        <f>J39+G39</f>
        <v>18.441559536123023</v>
      </c>
      <c r="L39" s="32">
        <f>K39+G39</f>
        <v>30.441559536123023</v>
      </c>
      <c r="M39" s="14"/>
      <c r="N39" s="32">
        <f t="shared" ref="N39" si="34">ROUND(C39*$N$4,0)</f>
        <v>29</v>
      </c>
      <c r="O39" s="32">
        <f>ROUND(C39*$O$4,0)</f>
        <v>56</v>
      </c>
      <c r="P39" s="32">
        <f>ROUND(C39*$P$4,0)</f>
        <v>51</v>
      </c>
      <c r="Q39" s="24"/>
      <c r="R39" s="31"/>
      <c r="S39" s="31">
        <f>ROUND(((N39-J39)*-0.35)+R39,0)</f>
        <v>-8</v>
      </c>
      <c r="T39" s="32">
        <f>ROUND(((O39-G39)*-0.35)+S39,0)</f>
        <v>-23</v>
      </c>
      <c r="U39" s="32">
        <f>ROUND(((P39-G39)*-0.35)+T39,0)</f>
        <v>-37</v>
      </c>
    </row>
    <row r="40" spans="1:21" ht="6" customHeight="1">
      <c r="C40" s="29"/>
      <c r="D40" s="27"/>
      <c r="E40" s="29"/>
      <c r="G40" s="28"/>
      <c r="H40" s="23"/>
      <c r="I40" s="29"/>
      <c r="J40" s="29"/>
      <c r="K40" s="28"/>
      <c r="L40" s="28"/>
      <c r="M40" s="23"/>
      <c r="N40" s="28"/>
      <c r="O40" s="28"/>
      <c r="P40" s="28"/>
      <c r="Q40" s="27"/>
      <c r="R40" s="29"/>
      <c r="S40" s="29"/>
      <c r="T40" s="28"/>
      <c r="U40" s="28"/>
    </row>
    <row r="41" spans="1:21">
      <c r="A41" s="5" t="s">
        <v>191</v>
      </c>
      <c r="C41" s="29"/>
      <c r="D41" s="27"/>
      <c r="E41" s="29"/>
      <c r="G41" s="28"/>
      <c r="H41" s="23"/>
      <c r="I41" s="29"/>
      <c r="J41" s="29"/>
      <c r="K41" s="28"/>
      <c r="L41" s="28"/>
      <c r="M41" s="23"/>
      <c r="N41" s="28"/>
      <c r="O41" s="28"/>
      <c r="P41" s="28"/>
      <c r="Q41" s="27"/>
      <c r="R41" s="29"/>
      <c r="S41" s="29"/>
      <c r="T41" s="28"/>
      <c r="U41" s="28"/>
    </row>
    <row r="42" spans="1:21">
      <c r="A42" s="5" t="s">
        <v>192</v>
      </c>
      <c r="C42" s="50">
        <f>'CAP15.1-Allocations'!D222</f>
        <v>3504.9110000000001</v>
      </c>
      <c r="D42" s="50"/>
      <c r="E42" s="50">
        <f>'CAP15.1-Allocations'!E222</f>
        <v>661.46712500000001</v>
      </c>
      <c r="F42" s="45">
        <v>2.52E-2</v>
      </c>
      <c r="G42" s="23">
        <f>ROUND(C42*F42,0)</f>
        <v>88</v>
      </c>
      <c r="H42" s="23"/>
      <c r="I42" s="24">
        <v>0</v>
      </c>
      <c r="J42" s="24">
        <f t="shared" ref="J42:J44" si="35">F42*E42</f>
        <v>16.668971550000002</v>
      </c>
      <c r="K42" s="14">
        <f>J42+G42</f>
        <v>104.66897155000001</v>
      </c>
      <c r="L42" s="14">
        <f>K42+G42</f>
        <v>192.66897155000001</v>
      </c>
      <c r="M42" s="14"/>
      <c r="N42" s="14">
        <f t="shared" ref="N42:N44" si="36">ROUND(C42*$N$4,0)</f>
        <v>131</v>
      </c>
      <c r="O42" s="14">
        <f>ROUND(C42*$O$4,0)</f>
        <v>253</v>
      </c>
      <c r="P42" s="14">
        <f t="shared" ref="P42:P44" si="37">ROUND(C42*$P$4,0)</f>
        <v>234</v>
      </c>
      <c r="Q42" s="24"/>
      <c r="R42" s="24"/>
      <c r="S42" s="24">
        <f>ROUND((((N42-J42)/2)*-0.35)+R42,0)</f>
        <v>-20</v>
      </c>
      <c r="T42" s="14">
        <f>ROUND(((O42-G42)*-0.35)+S42,0)</f>
        <v>-78</v>
      </c>
      <c r="U42" s="14">
        <f>ROUND(((P42-G42)*-0.35)+T42,0)</f>
        <v>-129</v>
      </c>
    </row>
    <row r="43" spans="1:21">
      <c r="A43" s="5" t="s">
        <v>41</v>
      </c>
      <c r="C43" s="50">
        <f>'CAP15.1-Allocations'!D300</f>
        <v>17362.442421386702</v>
      </c>
      <c r="D43" s="50"/>
      <c r="E43" s="50">
        <f>'CAP15.1-Allocations'!E300</f>
        <v>7926.6341222721112</v>
      </c>
      <c r="F43" s="45">
        <v>2.52E-2</v>
      </c>
      <c r="G43" s="23">
        <f t="shared" ref="G43:G44" si="38">ROUND(C43*F43,0)</f>
        <v>438</v>
      </c>
      <c r="H43" s="23"/>
      <c r="I43" s="24">
        <v>0</v>
      </c>
      <c r="J43" s="24">
        <f t="shared" si="35"/>
        <v>199.7511798812572</v>
      </c>
      <c r="K43" s="14">
        <f>J43+G43</f>
        <v>637.75117988125726</v>
      </c>
      <c r="L43" s="14">
        <f>K43+G43</f>
        <v>1075.7511798812573</v>
      </c>
      <c r="M43" s="14"/>
      <c r="N43" s="14">
        <f t="shared" si="36"/>
        <v>651</v>
      </c>
      <c r="O43" s="14">
        <f t="shared" ref="O43:O44" si="39">ROUND(C43*$O$4,0)</f>
        <v>1253</v>
      </c>
      <c r="P43" s="14">
        <f t="shared" si="37"/>
        <v>1159</v>
      </c>
      <c r="Q43" s="24"/>
      <c r="R43" s="24"/>
      <c r="S43" s="24">
        <f t="shared" ref="S43:S44" si="40">ROUND(((N43-J43)*-0.35)+R43,0)</f>
        <v>-158</v>
      </c>
      <c r="T43" s="14">
        <f>ROUND(((O43-G43)*-0.35)+S43,0)</f>
        <v>-443</v>
      </c>
      <c r="U43" s="14">
        <f>ROUND(((P43-G43)*-0.35)+T43,0)</f>
        <v>-695</v>
      </c>
    </row>
    <row r="44" spans="1:21">
      <c r="A44" s="5" t="s">
        <v>40</v>
      </c>
      <c r="C44" s="50">
        <f>'CAP15.1-Allocations'!D306</f>
        <v>281.08</v>
      </c>
      <c r="D44" s="50"/>
      <c r="E44" s="50">
        <f>'CAP15.1-Allocations'!E306</f>
        <v>133.11000155000002</v>
      </c>
      <c r="F44" s="45">
        <v>2.52E-2</v>
      </c>
      <c r="G44" s="23">
        <f t="shared" si="38"/>
        <v>7</v>
      </c>
      <c r="H44" s="23"/>
      <c r="I44" s="24">
        <v>0</v>
      </c>
      <c r="J44" s="24">
        <f t="shared" si="35"/>
        <v>3.3543720390600007</v>
      </c>
      <c r="K44" s="14">
        <f>J44+G44</f>
        <v>10.354372039060001</v>
      </c>
      <c r="L44" s="14">
        <f>K44+G44</f>
        <v>17.354372039060003</v>
      </c>
      <c r="M44" s="14"/>
      <c r="N44" s="14">
        <f t="shared" si="36"/>
        <v>11</v>
      </c>
      <c r="O44" s="14">
        <f t="shared" si="39"/>
        <v>20</v>
      </c>
      <c r="P44" s="14">
        <f t="shared" si="37"/>
        <v>19</v>
      </c>
      <c r="Q44" s="24"/>
      <c r="R44" s="24"/>
      <c r="S44" s="24">
        <f t="shared" si="40"/>
        <v>-3</v>
      </c>
      <c r="T44" s="14">
        <f>ROUND(((O44-G44)*-0.35)+S44,0)</f>
        <v>-8</v>
      </c>
      <c r="U44" s="14">
        <f>ROUND(((P44-G44)*-0.35)+T44,0)</f>
        <v>-12</v>
      </c>
    </row>
    <row r="45" spans="1:21">
      <c r="A45" s="5" t="s">
        <v>189</v>
      </c>
      <c r="C45" s="26">
        <f>SUM(C42:C44)</f>
        <v>21148.433421386704</v>
      </c>
      <c r="D45" s="27"/>
      <c r="E45" s="26">
        <f>SUM(E42:E44)</f>
        <v>8721.2112488221101</v>
      </c>
      <c r="F45" s="8"/>
      <c r="G45" s="25">
        <f t="shared" ref="G45:U45" si="41">SUM(G42:G44)</f>
        <v>533</v>
      </c>
      <c r="H45" s="23"/>
      <c r="I45" s="26">
        <f t="shared" si="41"/>
        <v>0</v>
      </c>
      <c r="J45" s="26">
        <f t="shared" si="41"/>
        <v>219.77452347031721</v>
      </c>
      <c r="K45" s="25">
        <f t="shared" si="41"/>
        <v>752.77452347031726</v>
      </c>
      <c r="L45" s="25">
        <f t="shared" si="41"/>
        <v>1285.7745234703173</v>
      </c>
      <c r="M45" s="23"/>
      <c r="N45" s="25">
        <f t="shared" si="41"/>
        <v>793</v>
      </c>
      <c r="O45" s="25">
        <f t="shared" si="41"/>
        <v>1526</v>
      </c>
      <c r="P45" s="25">
        <f t="shared" si="41"/>
        <v>1412</v>
      </c>
      <c r="Q45" s="27"/>
      <c r="R45" s="26">
        <f t="shared" si="41"/>
        <v>0</v>
      </c>
      <c r="S45" s="26">
        <f t="shared" si="41"/>
        <v>-181</v>
      </c>
      <c r="T45" s="25">
        <f t="shared" si="41"/>
        <v>-529</v>
      </c>
      <c r="U45" s="25">
        <f t="shared" si="41"/>
        <v>-836</v>
      </c>
    </row>
    <row r="46" spans="1:21" ht="7.5" customHeight="1">
      <c r="C46" s="29"/>
      <c r="D46" s="27"/>
      <c r="E46" s="29"/>
      <c r="G46" s="28"/>
      <c r="H46" s="23"/>
      <c r="I46" s="29"/>
      <c r="J46" s="29"/>
      <c r="K46" s="28"/>
      <c r="L46" s="28"/>
      <c r="M46" s="23"/>
      <c r="N46" s="28"/>
      <c r="O46" s="28"/>
      <c r="P46" s="28"/>
      <c r="Q46" s="27"/>
      <c r="R46" s="29"/>
      <c r="S46" s="29"/>
      <c r="T46" s="28"/>
      <c r="U46" s="28"/>
    </row>
    <row r="47" spans="1:21">
      <c r="A47" s="5" t="s">
        <v>131</v>
      </c>
      <c r="C47" s="50">
        <f>'CAP15.1-Allocations'!D114+'CAP15.1-Allocations'!D132+'CAP15.1-Allocations'!D140+'CAP15.1-Allocations'!D145</f>
        <v>6702.4731729332152</v>
      </c>
      <c r="D47" s="50"/>
      <c r="E47" s="50">
        <f>'CAP15.1-Allocations'!E114+'CAP15.1-Allocations'!E132+'CAP15.1-Allocations'!E140+'CAP15.1-Allocations'!E145</f>
        <v>1762.5950760311539</v>
      </c>
      <c r="F47" s="45">
        <v>3.6200000000000003E-2</v>
      </c>
      <c r="G47" s="23">
        <f t="shared" ref="G47:G48" si="42">ROUND(C47*F47,0)</f>
        <v>243</v>
      </c>
      <c r="H47" s="23"/>
      <c r="I47" s="24">
        <v>0</v>
      </c>
      <c r="J47" s="24">
        <f t="shared" ref="J47:J48" si="43">F47*E47</f>
        <v>63.805941752327776</v>
      </c>
      <c r="K47" s="14">
        <f>J47+G47</f>
        <v>306.80594175232778</v>
      </c>
      <c r="L47" s="14">
        <f>K47+G47</f>
        <v>549.80594175232773</v>
      </c>
      <c r="M47" s="14"/>
      <c r="N47" s="14">
        <f>ROUND(C47*$N$5,0)</f>
        <v>957</v>
      </c>
      <c r="O47" s="14">
        <f>ROUND(C47*$O$5,0)</f>
        <v>1641</v>
      </c>
      <c r="P47" s="14">
        <f>ROUND(C47*$P$5,0)</f>
        <v>1172</v>
      </c>
      <c r="Q47" s="24"/>
      <c r="R47" s="24"/>
      <c r="S47" s="24">
        <f t="shared" ref="S47:S48" si="44">ROUND(((N47-J47)*-0.35)+R47,0)</f>
        <v>-313</v>
      </c>
      <c r="T47" s="14">
        <f>ROUND(((O47-G47)*-0.35)+S47,0)</f>
        <v>-802</v>
      </c>
      <c r="U47" s="14">
        <f>ROUND(((P47-G47)*-0.35)+T47,0)</f>
        <v>-1127</v>
      </c>
    </row>
    <row r="48" spans="1:21">
      <c r="A48" s="5" t="s">
        <v>193</v>
      </c>
      <c r="C48" s="50">
        <f>'CAP15.1-Allocations'!D156</f>
        <v>1101.7553239000001</v>
      </c>
      <c r="D48" s="50"/>
      <c r="E48" s="50">
        <f>'CAP15.1-Allocations'!E156</f>
        <v>551.02686394532418</v>
      </c>
      <c r="F48" s="45">
        <v>8.9200000000000002E-2</v>
      </c>
      <c r="G48" s="23">
        <f t="shared" si="42"/>
        <v>98</v>
      </c>
      <c r="H48" s="23"/>
      <c r="I48" s="24">
        <v>0</v>
      </c>
      <c r="J48" s="24">
        <f t="shared" si="43"/>
        <v>49.151596263922919</v>
      </c>
      <c r="K48" s="14">
        <f>J48+G48</f>
        <v>147.15159626392293</v>
      </c>
      <c r="L48" s="14">
        <f>K48+G48</f>
        <v>245.15159626392293</v>
      </c>
      <c r="M48" s="14"/>
      <c r="N48" s="14">
        <f>ROUND(C48*$N$6,0)</f>
        <v>220</v>
      </c>
      <c r="O48" s="14">
        <f>ROUND(C48*$O$6,0)</f>
        <v>353</v>
      </c>
      <c r="P48" s="14">
        <f>ROUND(C48*$P$6,0)</f>
        <v>212</v>
      </c>
      <c r="Q48" s="24"/>
      <c r="R48" s="24"/>
      <c r="S48" s="24">
        <f t="shared" si="44"/>
        <v>-60</v>
      </c>
      <c r="T48" s="14">
        <f>ROUND(((O48-G48)*-0.35)+S48,0)</f>
        <v>-149</v>
      </c>
      <c r="U48" s="14">
        <f>ROUND(((P48-G48)*-0.35)+T48,0)</f>
        <v>-189</v>
      </c>
    </row>
    <row r="49" spans="1:21">
      <c r="A49" s="5" t="s">
        <v>189</v>
      </c>
      <c r="C49" s="26">
        <f>SUM(C47:C48)</f>
        <v>7804.2284968332151</v>
      </c>
      <c r="D49" s="27"/>
      <c r="E49" s="26">
        <f>SUM(E47:E48)</f>
        <v>2313.6219399764782</v>
      </c>
      <c r="F49" s="27"/>
      <c r="G49" s="25">
        <f t="shared" ref="G49:U49" si="45">SUM(G47:G48)</f>
        <v>341</v>
      </c>
      <c r="H49" s="23"/>
      <c r="I49" s="26">
        <f t="shared" si="45"/>
        <v>0</v>
      </c>
      <c r="J49" s="26">
        <f t="shared" si="45"/>
        <v>112.95753801625069</v>
      </c>
      <c r="K49" s="26">
        <f t="shared" si="45"/>
        <v>453.95753801625074</v>
      </c>
      <c r="L49" s="26">
        <f t="shared" si="45"/>
        <v>794.95753801625062</v>
      </c>
      <c r="M49" s="23"/>
      <c r="N49" s="25">
        <f t="shared" si="45"/>
        <v>1177</v>
      </c>
      <c r="O49" s="25">
        <f t="shared" si="45"/>
        <v>1994</v>
      </c>
      <c r="P49" s="25">
        <f t="shared" si="45"/>
        <v>1384</v>
      </c>
      <c r="Q49" s="27"/>
      <c r="R49" s="26">
        <f t="shared" si="45"/>
        <v>0</v>
      </c>
      <c r="S49" s="26">
        <f t="shared" si="45"/>
        <v>-373</v>
      </c>
      <c r="T49" s="25">
        <f t="shared" si="45"/>
        <v>-951</v>
      </c>
      <c r="U49" s="25">
        <f t="shared" si="45"/>
        <v>-1316</v>
      </c>
    </row>
    <row r="50" spans="1:21" ht="6" customHeight="1">
      <c r="C50" s="29"/>
      <c r="D50" s="27"/>
      <c r="E50" s="29"/>
      <c r="F50" s="45"/>
      <c r="G50" s="28"/>
      <c r="H50" s="23"/>
      <c r="I50" s="29"/>
      <c r="J50" s="29"/>
      <c r="K50" s="28"/>
      <c r="L50" s="28"/>
      <c r="M50" s="23"/>
      <c r="N50" s="41"/>
      <c r="O50" s="28"/>
      <c r="P50" s="28"/>
      <c r="Q50" s="27"/>
      <c r="R50" s="29"/>
      <c r="S50" s="29"/>
      <c r="T50" s="28"/>
      <c r="U50" s="28"/>
    </row>
    <row r="51" spans="1:21">
      <c r="A51" s="5" t="s">
        <v>393</v>
      </c>
      <c r="C51" s="29">
        <f>'CAP15.1-Allocations'!D183*0.1</f>
        <v>1360.8584286875348</v>
      </c>
      <c r="D51" s="27"/>
      <c r="E51" s="29">
        <f>'CAP15.1-Allocations'!E183*0.1</f>
        <v>1163.0099860679586</v>
      </c>
      <c r="F51" s="45">
        <v>0.23699999999999999</v>
      </c>
      <c r="G51" s="23">
        <f t="shared" ref="G51" si="46">ROUND(C51*F51,0)</f>
        <v>323</v>
      </c>
      <c r="H51" s="23"/>
      <c r="I51" s="24">
        <v>0</v>
      </c>
      <c r="J51" s="24">
        <f t="shared" ref="J51" si="47">F51*E51</f>
        <v>275.63336669810616</v>
      </c>
      <c r="K51" s="14">
        <f>J51+G51</f>
        <v>598.6333666981061</v>
      </c>
      <c r="L51" s="14">
        <f>K51+G51</f>
        <v>921.6333666981061</v>
      </c>
      <c r="M51" s="14"/>
      <c r="N51" s="14">
        <f>ROUND(C51*$N$6,0)</f>
        <v>272</v>
      </c>
      <c r="O51" s="14">
        <f>ROUND(C51*$O$6,0)</f>
        <v>435</v>
      </c>
      <c r="P51" s="14">
        <f>ROUND(C51*$P$6,0)</f>
        <v>261</v>
      </c>
      <c r="Q51" s="24"/>
      <c r="R51" s="24"/>
      <c r="S51" s="24">
        <f t="shared" ref="S51" si="48">ROUND(((N51-J51)*-0.35)+R51,0)</f>
        <v>1</v>
      </c>
      <c r="T51" s="14">
        <f>ROUND(((O51-G51)*-0.35)+S51,0)</f>
        <v>-38</v>
      </c>
      <c r="U51" s="14">
        <f>ROUND(((P51-G51)*-0.35)+T51,0)</f>
        <v>-16</v>
      </c>
    </row>
    <row r="52" spans="1:21">
      <c r="A52" s="5" t="s">
        <v>395</v>
      </c>
      <c r="C52" s="50">
        <f>('CAP15.1-Allocations'!D170+'CAP15.1-Allocations'!D197)*0.61</f>
        <v>2596.5433257874156</v>
      </c>
      <c r="D52" s="50"/>
      <c r="E52" s="50">
        <f>('CAP15.1-Allocations'!E170+'CAP15.1-Allocations'!E197)*0.61</f>
        <v>976.8093177240097</v>
      </c>
      <c r="F52" s="45">
        <v>0.23699999999999999</v>
      </c>
      <c r="G52" s="23">
        <f t="shared" ref="G52" si="49">ROUND(C52*F52,0)</f>
        <v>615</v>
      </c>
      <c r="H52" s="23"/>
      <c r="I52" s="24">
        <v>0</v>
      </c>
      <c r="J52" s="24">
        <f>F52*E52</f>
        <v>231.50380830059029</v>
      </c>
      <c r="K52" s="14">
        <f>J52+G52</f>
        <v>846.50380830059032</v>
      </c>
      <c r="L52" s="14">
        <f>K52+G52</f>
        <v>1461.5038083005902</v>
      </c>
      <c r="M52" s="14"/>
      <c r="N52" s="14">
        <f>ROUND(C52*$N$6,0)</f>
        <v>519</v>
      </c>
      <c r="O52" s="14">
        <f>ROUND(C52*$O$6,0)</f>
        <v>831</v>
      </c>
      <c r="P52" s="14">
        <f>ROUND(C52*$P$6,0)</f>
        <v>499</v>
      </c>
      <c r="Q52" s="24"/>
      <c r="R52" s="24"/>
      <c r="S52" s="24">
        <f>ROUND(((N52-J52)*-0.35)+R52,0)</f>
        <v>-101</v>
      </c>
      <c r="T52" s="14">
        <f>ROUND(((O52-G52)*-0.35)+S52,0)</f>
        <v>-177</v>
      </c>
      <c r="U52" s="14">
        <f>ROUND(((P52-G52)*-0.35)+T52,0)</f>
        <v>-136</v>
      </c>
    </row>
    <row r="53" spans="1:21">
      <c r="A53" s="5" t="s">
        <v>394</v>
      </c>
      <c r="C53" s="29">
        <f>'CAP15.1-Allocations'!D183*0.9</f>
        <v>12247.725858187812</v>
      </c>
      <c r="D53" s="50"/>
      <c r="E53" s="29">
        <f>'CAP15.1-Allocations'!E183*0.9</f>
        <v>10467.089874611627</v>
      </c>
      <c r="F53" s="45">
        <v>6.6600000000000006E-2</v>
      </c>
      <c r="G53" s="23">
        <f t="shared" ref="G53" si="50">ROUND(C53*F53,0)</f>
        <v>816</v>
      </c>
      <c r="H53" s="23"/>
      <c r="I53" s="24">
        <v>0</v>
      </c>
      <c r="J53" s="24">
        <f t="shared" ref="J53:J54" si="51">F53*E53</f>
        <v>697.1081856491345</v>
      </c>
      <c r="K53" s="14">
        <f t="shared" ref="K53:K54" si="52">J53+G53</f>
        <v>1513.1081856491346</v>
      </c>
      <c r="L53" s="14">
        <f t="shared" ref="L53:L54" si="53">K53+G53</f>
        <v>2329.1081856491346</v>
      </c>
      <c r="M53" s="14"/>
      <c r="N53" s="14">
        <f>ROUND(C53*$N$7,0)</f>
        <v>4082</v>
      </c>
      <c r="O53" s="14">
        <f>ROUND(C53*$O$7,0)</f>
        <v>5444</v>
      </c>
      <c r="P53" s="14">
        <f>ROUND(C53*$P$7,0)</f>
        <v>1814</v>
      </c>
      <c r="Q53" s="24"/>
      <c r="R53" s="24"/>
      <c r="S53" s="24">
        <f t="shared" ref="S53" si="54">ROUND(((N53-J53)*-0.35)+R53,0)</f>
        <v>-1185</v>
      </c>
      <c r="T53" s="14">
        <f t="shared" ref="T53:T54" si="55">ROUND(((O53-G53)*-0.35)+S53,0)</f>
        <v>-2805</v>
      </c>
      <c r="U53" s="14">
        <f t="shared" ref="U53:U54" si="56">ROUND(((P53-G53)*-0.35)+T53,0)</f>
        <v>-3154</v>
      </c>
    </row>
    <row r="54" spans="1:21">
      <c r="A54" s="5" t="s">
        <v>21</v>
      </c>
      <c r="C54" s="50">
        <f>('CAP15.1-Allocations'!D170+'CAP15.1-Allocations'!D197)*0.39</f>
        <v>1660.085077142774</v>
      </c>
      <c r="D54" s="50"/>
      <c r="E54" s="50">
        <f>('CAP15.1-Allocations'!E170+'CAP15.1-Allocations'!E197)*0.39</f>
        <v>624.51743264321942</v>
      </c>
      <c r="F54" s="45">
        <v>0.2</v>
      </c>
      <c r="G54" s="23">
        <f>ROUND(C54*F54,0)</f>
        <v>332</v>
      </c>
      <c r="H54" s="23"/>
      <c r="I54" s="24">
        <v>0</v>
      </c>
      <c r="J54" s="24">
        <f t="shared" si="51"/>
        <v>124.9034865286439</v>
      </c>
      <c r="K54" s="14">
        <f t="shared" si="52"/>
        <v>456.9034865286439</v>
      </c>
      <c r="L54" s="14">
        <f t="shared" si="53"/>
        <v>788.90348652864395</v>
      </c>
      <c r="M54" s="14"/>
      <c r="N54" s="14">
        <f>ROUND(C54*$N$7,0)</f>
        <v>553</v>
      </c>
      <c r="O54" s="14">
        <f>ROUND(C54*$O$7,0)</f>
        <v>738</v>
      </c>
      <c r="P54" s="14">
        <f>ROUND(C54*$P$7,0)</f>
        <v>246</v>
      </c>
      <c r="Q54" s="24"/>
      <c r="R54" s="24"/>
      <c r="S54" s="24">
        <f>ROUND(((N54-J54)*-0.35)+R54,0)</f>
        <v>-150</v>
      </c>
      <c r="T54" s="14">
        <f t="shared" si="55"/>
        <v>-292</v>
      </c>
      <c r="U54" s="14">
        <f t="shared" si="56"/>
        <v>-262</v>
      </c>
    </row>
    <row r="55" spans="1:21">
      <c r="C55" s="192">
        <f>SUM(C51:C54)</f>
        <v>17865.212689805536</v>
      </c>
      <c r="E55" s="192">
        <f>SUM(E51:E54)</f>
        <v>13231.426611046814</v>
      </c>
      <c r="F55" s="45"/>
      <c r="G55" s="192">
        <f>SUM(G51:G54)</f>
        <v>2086</v>
      </c>
      <c r="I55" s="192">
        <f t="shared" ref="I55:L55" si="57">SUM(I51:I54)</f>
        <v>0</v>
      </c>
      <c r="J55" s="192">
        <f t="shared" si="57"/>
        <v>1329.1488471764749</v>
      </c>
      <c r="K55" s="192">
        <f t="shared" si="57"/>
        <v>3415.1488471764751</v>
      </c>
      <c r="L55" s="192">
        <f t="shared" si="57"/>
        <v>5501.1488471764751</v>
      </c>
      <c r="N55" s="192">
        <f t="shared" ref="N55:P55" si="58">SUM(N51:N54)</f>
        <v>5426</v>
      </c>
      <c r="O55" s="192">
        <f t="shared" si="58"/>
        <v>7448</v>
      </c>
      <c r="P55" s="192">
        <f t="shared" si="58"/>
        <v>2820</v>
      </c>
      <c r="R55" s="192">
        <f t="shared" ref="R55:U55" si="59">SUM(R51:R54)</f>
        <v>0</v>
      </c>
      <c r="S55" s="192">
        <f t="shared" si="59"/>
        <v>-1435</v>
      </c>
      <c r="T55" s="192">
        <f t="shared" si="59"/>
        <v>-3312</v>
      </c>
      <c r="U55" s="192">
        <f t="shared" si="59"/>
        <v>-3568</v>
      </c>
    </row>
    <row r="56" spans="1:21">
      <c r="C56" s="29"/>
      <c r="D56" s="27"/>
      <c r="E56" s="29"/>
      <c r="F56" s="45"/>
      <c r="G56" s="28"/>
      <c r="H56" s="23"/>
      <c r="I56" s="29"/>
      <c r="J56" s="29"/>
      <c r="K56" s="28"/>
      <c r="L56" s="28"/>
      <c r="M56" s="23"/>
      <c r="N56" s="28"/>
      <c r="O56" s="28"/>
      <c r="P56" s="28"/>
      <c r="Q56" s="27"/>
      <c r="R56" s="29"/>
      <c r="S56" s="29"/>
      <c r="T56" s="28"/>
      <c r="U56" s="28"/>
    </row>
    <row r="57" spans="1:21" s="34" customFormat="1" ht="13.5" thickBot="1">
      <c r="A57" s="34" t="s">
        <v>196</v>
      </c>
      <c r="C57" s="35">
        <f>SUM(C39,C45,C49,C55)</f>
        <v>47587.003720095454</v>
      </c>
      <c r="D57" s="36"/>
      <c r="E57" s="35">
        <f>SUM(E39,E45,E49,E55)</f>
        <v>24671.389330419177</v>
      </c>
      <c r="F57" s="47"/>
      <c r="G57" s="35">
        <f>SUM(G39,G45,G49,G55)</f>
        <v>2972</v>
      </c>
      <c r="H57" s="36"/>
      <c r="I57" s="35">
        <f t="shared" ref="I57:L57" si="60">SUM(I39,I45,I49,I55)</f>
        <v>0</v>
      </c>
      <c r="J57" s="35">
        <f t="shared" si="60"/>
        <v>1668.3224681991658</v>
      </c>
      <c r="K57" s="35">
        <f t="shared" si="60"/>
        <v>4640.322468199166</v>
      </c>
      <c r="L57" s="35">
        <f t="shared" si="60"/>
        <v>7612.322468199166</v>
      </c>
      <c r="M57" s="36"/>
      <c r="N57" s="35">
        <f t="shared" ref="N57:P57" si="61">SUM(N39,N45,N49,N55)</f>
        <v>7425</v>
      </c>
      <c r="O57" s="35">
        <f t="shared" si="61"/>
        <v>11024</v>
      </c>
      <c r="P57" s="35">
        <f t="shared" si="61"/>
        <v>5667</v>
      </c>
      <c r="Q57" s="38"/>
      <c r="R57" s="35">
        <f t="shared" ref="R57:U57" si="62">SUM(R39,R45,R49,R55)</f>
        <v>0</v>
      </c>
      <c r="S57" s="35">
        <f t="shared" si="62"/>
        <v>-1997</v>
      </c>
      <c r="T57" s="35">
        <f t="shared" si="62"/>
        <v>-4815</v>
      </c>
      <c r="U57" s="35">
        <f t="shared" si="62"/>
        <v>-5757</v>
      </c>
    </row>
    <row r="58" spans="1:21">
      <c r="C58" s="191" t="s">
        <v>401</v>
      </c>
      <c r="D58" s="191"/>
      <c r="E58" s="191" t="s">
        <v>401</v>
      </c>
      <c r="G58" s="221" t="s">
        <v>401</v>
      </c>
      <c r="H58" s="221"/>
      <c r="J58" s="221" t="s">
        <v>401</v>
      </c>
      <c r="K58" s="221"/>
      <c r="S58" s="221" t="s">
        <v>401</v>
      </c>
      <c r="T58" s="221"/>
    </row>
    <row r="59" spans="1:21">
      <c r="J59" s="42"/>
    </row>
    <row r="60" spans="1:21">
      <c r="C60" s="42"/>
      <c r="D60" s="189"/>
      <c r="E60" s="42"/>
      <c r="J60" s="42"/>
    </row>
    <row r="61" spans="1:21">
      <c r="J61" s="42"/>
    </row>
    <row r="62" spans="1:21">
      <c r="J62" s="42"/>
    </row>
  </sheetData>
  <mergeCells count="9">
    <mergeCell ref="G58:H58"/>
    <mergeCell ref="J58:K58"/>
    <mergeCell ref="S58:T58"/>
    <mergeCell ref="I10:L10"/>
    <mergeCell ref="R10:U10"/>
    <mergeCell ref="N10:P10"/>
    <mergeCell ref="G37:H37"/>
    <mergeCell ref="J37:K37"/>
    <mergeCell ref="S37:T37"/>
  </mergeCells>
  <pageMargins left="0.25" right="0" top="0.25" bottom="0.5" header="0" footer="0"/>
  <pageSetup scale="75" orientation="landscape" r:id="rId1"/>
  <headerFooter scaleWithDoc="0" alignWithMargins="0">
    <oddFooter>&amp;L&amp;Z
&amp;F&amp;RPage &amp;P of &amp;N
KKS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8"/>
  <sheetViews>
    <sheetView zoomScaleNormal="100" workbookViewId="0">
      <pane xSplit="2" ySplit="10" topLeftCell="C350" activePane="bottomRight" state="frozen"/>
      <selection activeCell="A2" sqref="A2"/>
      <selection pane="topRight" activeCell="A2" sqref="A2"/>
      <selection pane="bottomLeft" activeCell="A2" sqref="A2"/>
      <selection pane="bottomRight" activeCell="H369" sqref="H369"/>
    </sheetView>
  </sheetViews>
  <sheetFormatPr defaultRowHeight="12.75"/>
  <cols>
    <col min="1" max="1" width="30.28515625" style="1" customWidth="1"/>
    <col min="2" max="2" width="11.7109375" style="1" customWidth="1"/>
    <col min="3" max="3" width="12.28515625" style="3" bestFit="1" customWidth="1"/>
    <col min="4" max="4" width="15.28515625" style="3" bestFit="1" customWidth="1"/>
    <col min="5" max="5" width="12.28515625" style="3" bestFit="1" customWidth="1"/>
    <col min="6" max="6" width="11.28515625" style="3" bestFit="1" customWidth="1"/>
    <col min="7" max="7" width="13.42578125" style="1" bestFit="1" customWidth="1"/>
    <col min="8" max="8" width="27" style="1" bestFit="1" customWidth="1"/>
    <col min="9" max="9" width="9.140625" style="1"/>
    <col min="10" max="10" width="9.85546875" style="1" bestFit="1" customWidth="1"/>
    <col min="11" max="12" width="9.140625" style="1"/>
    <col min="13" max="13" width="10.28515625" style="1" bestFit="1" customWidth="1"/>
    <col min="14" max="16384" width="9.140625" style="1"/>
  </cols>
  <sheetData>
    <row r="1" spans="1:15">
      <c r="A1" s="1" t="str">
        <f>'CAP15'!A1</f>
        <v xml:space="preserve">Pro Forma Adjustment Calculation- WA </v>
      </c>
    </row>
    <row r="2" spans="1:15">
      <c r="A2" s="1" t="str">
        <f>'CAP15'!A2</f>
        <v>Test Year Ended September 30, 2014 Ratebase Adjusted to 12/31/16 AMA</v>
      </c>
    </row>
    <row r="4" spans="1:15">
      <c r="A4" s="54">
        <v>1</v>
      </c>
      <c r="B4" s="54">
        <v>2</v>
      </c>
      <c r="C4" s="55">
        <v>3</v>
      </c>
      <c r="D4" s="55">
        <v>4</v>
      </c>
      <c r="E4" s="55">
        <v>5</v>
      </c>
      <c r="F4" s="55"/>
      <c r="G4" s="54"/>
      <c r="H4" s="54"/>
      <c r="I4" s="54"/>
      <c r="J4" s="54"/>
      <c r="K4" s="54"/>
      <c r="L4" s="54"/>
      <c r="M4" s="54"/>
      <c r="N4" s="54"/>
      <c r="O4" s="54"/>
    </row>
    <row r="6" spans="1:15">
      <c r="A6" s="56"/>
      <c r="B6" s="57"/>
      <c r="D6" s="58"/>
      <c r="E6" s="58"/>
    </row>
    <row r="7" spans="1:15">
      <c r="A7" s="59" t="s">
        <v>31</v>
      </c>
      <c r="D7" s="58"/>
      <c r="E7" s="58"/>
      <c r="F7" s="55"/>
      <c r="G7" s="54"/>
      <c r="I7" s="54"/>
    </row>
    <row r="8" spans="1:15">
      <c r="D8" s="58"/>
      <c r="E8" s="58"/>
      <c r="F8" s="55"/>
      <c r="G8" s="54"/>
      <c r="H8" s="54"/>
      <c r="I8" s="54"/>
    </row>
    <row r="9" spans="1:15">
      <c r="D9" s="58" t="s">
        <v>252</v>
      </c>
      <c r="E9" s="58" t="s">
        <v>253</v>
      </c>
      <c r="F9" s="55"/>
      <c r="G9" s="54"/>
      <c r="H9" s="54"/>
      <c r="I9" s="54"/>
    </row>
    <row r="10" spans="1:15">
      <c r="A10" s="60" t="s">
        <v>6</v>
      </c>
      <c r="C10" s="61" t="s">
        <v>100</v>
      </c>
      <c r="D10" s="61" t="s">
        <v>79</v>
      </c>
      <c r="E10" s="61" t="s">
        <v>79</v>
      </c>
      <c r="F10" s="111"/>
      <c r="G10" s="62"/>
      <c r="H10" s="63"/>
      <c r="I10" s="62"/>
    </row>
    <row r="12" spans="1:15">
      <c r="A12" s="56" t="s">
        <v>97</v>
      </c>
      <c r="D12" s="67">
        <f>'CAP15.2 - AMA CALC'!R14</f>
        <v>2497.2849999999999</v>
      </c>
      <c r="E12" s="67">
        <f>'CAP15.2 - AMA CALC'!S14</f>
        <v>507.12195833333334</v>
      </c>
      <c r="F12" s="67"/>
      <c r="G12" s="69"/>
    </row>
    <row r="13" spans="1:15">
      <c r="A13" s="1" t="s">
        <v>98</v>
      </c>
      <c r="G13" s="69"/>
    </row>
    <row r="14" spans="1:15">
      <c r="A14" s="75" t="s">
        <v>99</v>
      </c>
      <c r="C14" s="76">
        <f>$C$362</f>
        <v>0.65190000000000003</v>
      </c>
      <c r="D14" s="67">
        <f>$C$14*D12</f>
        <v>1627.9800915000001</v>
      </c>
      <c r="E14" s="67">
        <f>$C$14*E12</f>
        <v>330.59280463750002</v>
      </c>
      <c r="F14" s="67"/>
      <c r="G14" s="69"/>
    </row>
    <row r="15" spans="1:15">
      <c r="A15" s="75" t="s">
        <v>101</v>
      </c>
      <c r="C15" s="76">
        <f>$D$362</f>
        <v>0.34810000000000002</v>
      </c>
      <c r="D15" s="67">
        <f>$C$15*D12</f>
        <v>869.30490850000001</v>
      </c>
      <c r="E15" s="67">
        <f>$C$15*E12</f>
        <v>176.52915369583334</v>
      </c>
      <c r="F15" s="67"/>
      <c r="G15" s="77"/>
    </row>
    <row r="16" spans="1:15">
      <c r="G16" s="69"/>
    </row>
    <row r="17" spans="1:15">
      <c r="A17" s="56" t="s">
        <v>102</v>
      </c>
      <c r="D17" s="67">
        <f>'CAP15.2 - AMA CALC'!R22</f>
        <v>109435.711</v>
      </c>
      <c r="E17" s="67">
        <f>'CAP15.2 - AMA CALC'!S22</f>
        <v>35605.865458333334</v>
      </c>
      <c r="F17" s="67"/>
      <c r="G17" s="77"/>
    </row>
    <row r="18" spans="1:15">
      <c r="G18" s="69"/>
    </row>
    <row r="19" spans="1:15">
      <c r="A19" s="75" t="s">
        <v>99</v>
      </c>
      <c r="C19" s="76">
        <f>$C$362</f>
        <v>0.65190000000000003</v>
      </c>
      <c r="D19" s="67">
        <f>$C$19*D17</f>
        <v>71341.140000900006</v>
      </c>
      <c r="E19" s="67">
        <f>$C$19*E17</f>
        <v>23211.4636922875</v>
      </c>
      <c r="F19" s="67"/>
      <c r="G19" s="69"/>
    </row>
    <row r="20" spans="1:15">
      <c r="A20" s="75" t="s">
        <v>101</v>
      </c>
      <c r="C20" s="76">
        <f>$D$362</f>
        <v>0.34810000000000002</v>
      </c>
      <c r="D20" s="67">
        <f>$C$20*D17</f>
        <v>38094.570999100004</v>
      </c>
      <c r="E20" s="67">
        <f>$C$20*E17</f>
        <v>12394.401766045834</v>
      </c>
      <c r="F20" s="67"/>
      <c r="G20" s="69"/>
    </row>
    <row r="21" spans="1:15">
      <c r="G21" s="69"/>
    </row>
    <row r="22" spans="1:15">
      <c r="A22" s="56" t="s">
        <v>103</v>
      </c>
      <c r="D22" s="67">
        <f>'CAP15.2 - AMA CALC'!R30</f>
        <v>2700</v>
      </c>
      <c r="E22" s="67">
        <f>'CAP15.2 - AMA CALC'!S30</f>
        <v>1237.5</v>
      </c>
      <c r="F22" s="67"/>
      <c r="G22" s="69"/>
    </row>
    <row r="23" spans="1:15">
      <c r="G23" s="69"/>
    </row>
    <row r="24" spans="1:15">
      <c r="A24" s="75" t="s">
        <v>99</v>
      </c>
      <c r="C24" s="76">
        <f>$C$362</f>
        <v>0.65190000000000003</v>
      </c>
      <c r="D24" s="67">
        <f>$C$24*D22</f>
        <v>1760.13</v>
      </c>
      <c r="E24" s="67">
        <f>$C$24*E22</f>
        <v>806.72625000000005</v>
      </c>
      <c r="F24" s="67"/>
      <c r="G24" s="69"/>
      <c r="N24" s="78"/>
      <c r="O24" s="78"/>
    </row>
    <row r="25" spans="1:15">
      <c r="A25" s="75" t="s">
        <v>101</v>
      </c>
      <c r="C25" s="76">
        <f>$D$362</f>
        <v>0.34810000000000002</v>
      </c>
      <c r="D25" s="67">
        <f>$C$25*D22</f>
        <v>939.87</v>
      </c>
      <c r="E25" s="67">
        <f>$C$25*E22</f>
        <v>430.77375000000001</v>
      </c>
      <c r="F25" s="67"/>
      <c r="G25" s="69"/>
      <c r="N25" s="78"/>
      <c r="O25" s="78"/>
    </row>
    <row r="26" spans="1:15">
      <c r="G26" s="69"/>
      <c r="N26" s="78"/>
      <c r="O26" s="78"/>
    </row>
    <row r="27" spans="1:15">
      <c r="A27" s="100" t="s">
        <v>104</v>
      </c>
      <c r="B27" s="54"/>
      <c r="C27" s="55"/>
      <c r="D27" s="67">
        <f>'CAP15.2 - AMA CALC'!R38</f>
        <v>35737.620999999999</v>
      </c>
      <c r="E27" s="67">
        <f>'CAP15.2 - AMA CALC'!S38</f>
        <v>7903.2358750000012</v>
      </c>
      <c r="F27" s="67"/>
      <c r="G27" s="69"/>
      <c r="N27" s="78"/>
      <c r="O27" s="78"/>
    </row>
    <row r="28" spans="1:15">
      <c r="A28" s="56"/>
      <c r="G28" s="69"/>
      <c r="N28" s="78"/>
      <c r="O28" s="78"/>
    </row>
    <row r="29" spans="1:15">
      <c r="A29" s="75" t="s">
        <v>99</v>
      </c>
      <c r="C29" s="76">
        <f>$C$362</f>
        <v>0.65190000000000003</v>
      </c>
      <c r="D29" s="67">
        <f>$C$29*D27</f>
        <v>23297.355129899999</v>
      </c>
      <c r="E29" s="67">
        <f>$C$29*E27</f>
        <v>5152.1194669125007</v>
      </c>
      <c r="F29" s="67"/>
      <c r="G29" s="69"/>
      <c r="N29" s="78"/>
      <c r="O29" s="78"/>
    </row>
    <row r="30" spans="1:15">
      <c r="A30" s="75" t="s">
        <v>101</v>
      </c>
      <c r="C30" s="76">
        <f>$D$362</f>
        <v>0.34810000000000002</v>
      </c>
      <c r="D30" s="67">
        <f>$C$30*D27</f>
        <v>12440.2658701</v>
      </c>
      <c r="E30" s="67">
        <f>$C$30*E27</f>
        <v>2751.1164080875005</v>
      </c>
      <c r="F30" s="67"/>
      <c r="G30" s="69"/>
      <c r="N30" s="78"/>
      <c r="O30" s="78"/>
    </row>
    <row r="31" spans="1:15">
      <c r="G31" s="69"/>
    </row>
    <row r="32" spans="1:15">
      <c r="A32" s="100" t="s">
        <v>308</v>
      </c>
      <c r="B32" s="54"/>
      <c r="C32" s="55"/>
      <c r="D32" s="67">
        <f>D34+D35</f>
        <v>3174.998</v>
      </c>
      <c r="E32" s="67">
        <f>E34+E35</f>
        <v>323.95824999999996</v>
      </c>
      <c r="G32" s="69"/>
    </row>
    <row r="33" spans="1:9">
      <c r="A33" s="56"/>
      <c r="G33" s="69"/>
    </row>
    <row r="34" spans="1:9">
      <c r="A34" s="75" t="s">
        <v>99</v>
      </c>
      <c r="C34" s="76"/>
      <c r="D34" s="67">
        <f>'CAP15.2 - AMA CALC'!R52</f>
        <v>3174.998</v>
      </c>
      <c r="E34" s="67">
        <f>'CAP15.2 - AMA CALC'!S52</f>
        <v>323.95824999999996</v>
      </c>
      <c r="G34" s="69"/>
    </row>
    <row r="35" spans="1:9">
      <c r="A35" s="75" t="s">
        <v>101</v>
      </c>
      <c r="C35" s="76"/>
      <c r="D35" s="67">
        <f>'CAP15.2 - AMA CALC'!R45</f>
        <v>0</v>
      </c>
      <c r="E35" s="67">
        <f>'CAP15.2 - AMA CALC'!S45</f>
        <v>0</v>
      </c>
      <c r="G35" s="69"/>
    </row>
    <row r="36" spans="1:9">
      <c r="A36" s="75"/>
      <c r="C36" s="76"/>
      <c r="D36" s="67"/>
      <c r="E36" s="67"/>
      <c r="G36" s="69"/>
    </row>
    <row r="37" spans="1:9">
      <c r="A37" s="56" t="s">
        <v>116</v>
      </c>
      <c r="D37" s="67">
        <f>'CAP15.2 - AMA CALC'!R60</f>
        <v>10856.986000000001</v>
      </c>
      <c r="E37" s="67">
        <f>'CAP15.2 - AMA CALC'!S60</f>
        <v>3753.8067499999997</v>
      </c>
      <c r="F37" s="67"/>
      <c r="G37" s="69"/>
    </row>
    <row r="38" spans="1:9">
      <c r="G38" s="69"/>
    </row>
    <row r="39" spans="1:9">
      <c r="A39" s="56" t="s">
        <v>115</v>
      </c>
      <c r="D39" s="67">
        <f>'CAP15.2 - AMA CALC'!R68</f>
        <v>889.26099999999997</v>
      </c>
      <c r="E39" s="67">
        <f>'CAP15.2 - AMA CALC'!S68</f>
        <v>37.052541666666663</v>
      </c>
      <c r="F39" s="67"/>
      <c r="G39" s="69"/>
    </row>
    <row r="40" spans="1:9">
      <c r="G40" s="69"/>
    </row>
    <row r="41" spans="1:9">
      <c r="A41" s="56"/>
      <c r="G41" s="69"/>
    </row>
    <row r="42" spans="1:9" ht="12" customHeight="1">
      <c r="A42" s="56" t="s">
        <v>105</v>
      </c>
      <c r="D42" s="67">
        <f>'CAP15.2 - AMA CALC'!R133</f>
        <v>19773.240000000002</v>
      </c>
      <c r="E42" s="67">
        <f>'CAP15.2 - AMA CALC'!S133</f>
        <v>5932.6495000000004</v>
      </c>
      <c r="F42" s="67"/>
      <c r="G42" s="79"/>
      <c r="H42" s="68"/>
      <c r="I42" s="68"/>
    </row>
    <row r="43" spans="1:9">
      <c r="A43" s="56" t="s">
        <v>164</v>
      </c>
      <c r="G43" s="69"/>
    </row>
    <row r="44" spans="1:9">
      <c r="A44" s="56" t="s">
        <v>175</v>
      </c>
      <c r="D44" s="67">
        <f>D73</f>
        <v>101.0401263</v>
      </c>
      <c r="E44" s="67">
        <f>E73</f>
        <v>51.67552747083333</v>
      </c>
      <c r="G44" s="69"/>
    </row>
    <row r="45" spans="1:9">
      <c r="A45" s="56" t="s">
        <v>176</v>
      </c>
      <c r="D45" s="80">
        <f>D91</f>
        <v>63.693451200000005</v>
      </c>
      <c r="E45" s="80">
        <f>E91</f>
        <v>16.8097256</v>
      </c>
      <c r="G45" s="69"/>
    </row>
    <row r="46" spans="1:9">
      <c r="A46" s="56"/>
      <c r="D46" s="67">
        <f>SUM(D42:D45)</f>
        <v>19937.973577500001</v>
      </c>
      <c r="E46" s="67">
        <f>SUM(E42:E45)</f>
        <v>6001.1347530708335</v>
      </c>
      <c r="G46" s="69"/>
    </row>
    <row r="47" spans="1:9">
      <c r="A47" s="75" t="s">
        <v>99</v>
      </c>
      <c r="C47" s="114">
        <f>C368</f>
        <v>0.65027000000000001</v>
      </c>
      <c r="D47" s="67">
        <f>$C$47*D46</f>
        <v>12965.066078240925</v>
      </c>
      <c r="E47" s="67">
        <f>$C$47*E46</f>
        <v>3902.357895879371</v>
      </c>
      <c r="F47" s="67"/>
      <c r="G47" s="69"/>
      <c r="H47" s="68"/>
      <c r="I47" s="68"/>
    </row>
    <row r="48" spans="1:9">
      <c r="A48" s="75" t="s">
        <v>101</v>
      </c>
      <c r="C48" s="114">
        <f>D368</f>
        <v>0.34972999999999999</v>
      </c>
      <c r="D48" s="67">
        <f>$C$48*D46</f>
        <v>6972.9074992590749</v>
      </c>
      <c r="E48" s="67">
        <f>$C$48*E46</f>
        <v>2098.7768571914626</v>
      </c>
      <c r="F48" s="67"/>
      <c r="G48" s="69"/>
      <c r="H48" s="68"/>
      <c r="I48" s="68"/>
    </row>
    <row r="49" spans="1:9">
      <c r="A49" s="75"/>
      <c r="C49" s="114">
        <f>SUM(C47:C48)</f>
        <v>1</v>
      </c>
      <c r="D49" s="67"/>
      <c r="E49" s="67"/>
      <c r="F49" s="67"/>
      <c r="G49" s="69"/>
      <c r="H49" s="68"/>
      <c r="I49" s="68"/>
    </row>
    <row r="50" spans="1:9">
      <c r="A50" s="75"/>
      <c r="C50" s="114"/>
      <c r="D50" s="67"/>
      <c r="E50" s="67"/>
      <c r="F50" s="67"/>
      <c r="G50" s="69"/>
      <c r="H50" s="68"/>
      <c r="I50" s="68"/>
    </row>
    <row r="51" spans="1:9">
      <c r="A51" s="56" t="s">
        <v>163</v>
      </c>
      <c r="C51" s="113"/>
      <c r="D51" s="67">
        <f>'CAP15.2 - AMA CALC'!R141</f>
        <v>1200</v>
      </c>
      <c r="E51" s="67">
        <f>'CAP15.2 - AMA CALC'!S141</f>
        <v>483.33333333333331</v>
      </c>
      <c r="F51" s="67"/>
      <c r="G51" s="69"/>
      <c r="H51" s="68"/>
      <c r="I51" s="68"/>
    </row>
    <row r="52" spans="1:9">
      <c r="A52" s="56"/>
      <c r="C52" s="113"/>
      <c r="F52" s="67"/>
      <c r="G52" s="69"/>
      <c r="H52" s="68"/>
      <c r="I52" s="68"/>
    </row>
    <row r="53" spans="1:9">
      <c r="A53" s="75" t="s">
        <v>99</v>
      </c>
      <c r="C53" s="113">
        <v>0.89659999999999995</v>
      </c>
      <c r="D53" s="67">
        <f>$C$53*D51</f>
        <v>1075.9199999999998</v>
      </c>
      <c r="E53" s="67">
        <f>$C$53*E51</f>
        <v>433.35666666666663</v>
      </c>
      <c r="F53" s="67"/>
      <c r="G53" s="69"/>
      <c r="H53" s="68"/>
      <c r="I53" s="68"/>
    </row>
    <row r="54" spans="1:9">
      <c r="A54" s="75" t="s">
        <v>101</v>
      </c>
      <c r="C54" s="113">
        <v>0.10340000000000001</v>
      </c>
      <c r="D54" s="67">
        <f>$C$54*D51</f>
        <v>124.08000000000001</v>
      </c>
      <c r="E54" s="67">
        <f>$C$54*E51</f>
        <v>49.976666666666667</v>
      </c>
      <c r="F54" s="67"/>
      <c r="G54" s="69"/>
      <c r="H54" s="68"/>
      <c r="I54" s="68"/>
    </row>
    <row r="55" spans="1:9">
      <c r="A55" s="75"/>
      <c r="C55" s="114">
        <f>SUM(C53:C54)</f>
        <v>1</v>
      </c>
      <c r="D55" s="67"/>
      <c r="E55" s="67"/>
      <c r="F55" s="67"/>
      <c r="G55" s="69"/>
      <c r="H55" s="68"/>
      <c r="I55" s="68"/>
    </row>
    <row r="56" spans="1:9">
      <c r="A56" s="75"/>
      <c r="C56" s="113"/>
      <c r="D56" s="67"/>
      <c r="E56" s="67"/>
      <c r="F56" s="67"/>
      <c r="G56" s="69"/>
      <c r="H56" s="68"/>
      <c r="I56" s="68"/>
    </row>
    <row r="57" spans="1:9">
      <c r="A57" s="56" t="s">
        <v>165</v>
      </c>
      <c r="C57" s="113"/>
      <c r="D57" s="67">
        <f>'CAP15.2 - AMA CALC'!R76</f>
        <v>999.99900000000002</v>
      </c>
      <c r="E57" s="67">
        <f>'CAP15.2 - AMA CALC'!S76</f>
        <v>566.16054166666675</v>
      </c>
      <c r="F57" s="67"/>
      <c r="G57" s="69"/>
      <c r="H57" s="68"/>
      <c r="I57" s="68"/>
    </row>
    <row r="58" spans="1:9">
      <c r="A58" s="56"/>
      <c r="C58" s="113"/>
      <c r="F58" s="67"/>
      <c r="G58" s="69"/>
      <c r="H58" s="68"/>
      <c r="I58" s="68"/>
    </row>
    <row r="59" spans="1:9">
      <c r="A59" s="75" t="s">
        <v>99</v>
      </c>
      <c r="C59" s="113">
        <v>0.71579999999999999</v>
      </c>
      <c r="D59" s="67">
        <f>$C$59*D57</f>
        <v>715.79928419999999</v>
      </c>
      <c r="E59" s="67">
        <f>$C$59*E57</f>
        <v>405.25771572500003</v>
      </c>
      <c r="F59" s="67"/>
      <c r="G59" s="69"/>
      <c r="H59" s="68"/>
      <c r="I59" s="68"/>
    </row>
    <row r="60" spans="1:9">
      <c r="A60" s="75" t="s">
        <v>101</v>
      </c>
      <c r="C60" s="113">
        <v>0.28420000000000001</v>
      </c>
      <c r="D60" s="67">
        <f>$C$60*D57</f>
        <v>284.19971580000004</v>
      </c>
      <c r="E60" s="67">
        <f>$C$60*E57</f>
        <v>160.90282594166669</v>
      </c>
      <c r="F60" s="67"/>
      <c r="G60" s="69"/>
      <c r="H60" s="68"/>
      <c r="I60" s="68"/>
    </row>
    <row r="61" spans="1:9">
      <c r="A61" s="75"/>
      <c r="C61" s="114">
        <f>SUM(C59:C60)</f>
        <v>1</v>
      </c>
      <c r="D61" s="67"/>
      <c r="E61" s="67"/>
      <c r="F61" s="67"/>
      <c r="G61" s="69"/>
      <c r="H61" s="68"/>
      <c r="I61" s="68"/>
    </row>
    <row r="62" spans="1:9">
      <c r="A62" s="75"/>
      <c r="C62" s="113"/>
      <c r="D62" s="67"/>
      <c r="E62" s="67"/>
      <c r="F62" s="67"/>
      <c r="G62" s="69"/>
      <c r="H62" s="68"/>
      <c r="I62" s="68"/>
    </row>
    <row r="63" spans="1:9">
      <c r="A63" s="56" t="s">
        <v>166</v>
      </c>
      <c r="C63" s="113"/>
      <c r="D63" s="67">
        <f>'CAP15.2 - AMA CALC'!R84</f>
        <v>8300.01</v>
      </c>
      <c r="E63" s="67">
        <f>'CAP15.2 - AMA CALC'!S84</f>
        <v>4254.1968333333325</v>
      </c>
      <c r="F63" s="67"/>
      <c r="G63" s="69"/>
      <c r="H63" s="68"/>
      <c r="I63" s="68"/>
    </row>
    <row r="64" spans="1:9">
      <c r="A64" s="56"/>
      <c r="C64" s="113"/>
      <c r="F64" s="67"/>
      <c r="G64" s="69"/>
      <c r="H64" s="68"/>
      <c r="I64" s="68"/>
    </row>
    <row r="65" spans="1:9">
      <c r="A65" s="75" t="s">
        <v>99</v>
      </c>
      <c r="C65" s="113">
        <v>0.63759999999999994</v>
      </c>
      <c r="D65" s="67">
        <f>$C$65*D63</f>
        <v>5292.0863759999993</v>
      </c>
      <c r="E65" s="67">
        <f>$C$65*E63</f>
        <v>2712.4759009333325</v>
      </c>
      <c r="F65" s="67"/>
      <c r="G65" s="69"/>
      <c r="H65" s="68"/>
      <c r="I65" s="68"/>
    </row>
    <row r="66" spans="1:9">
      <c r="A66" s="75" t="s">
        <v>101</v>
      </c>
      <c r="C66" s="113">
        <v>0.3624</v>
      </c>
      <c r="D66" s="67">
        <f>$C$66*D63</f>
        <v>3007.923624</v>
      </c>
      <c r="E66" s="67">
        <f>$C$66*E63</f>
        <v>1541.7209323999998</v>
      </c>
      <c r="F66" s="67"/>
      <c r="G66" s="69"/>
      <c r="H66" s="68"/>
      <c r="I66" s="68"/>
    </row>
    <row r="67" spans="1:9">
      <c r="A67" s="75"/>
      <c r="C67" s="114">
        <f>SUM(C65:C66)</f>
        <v>1</v>
      </c>
      <c r="D67" s="67"/>
      <c r="E67" s="67"/>
      <c r="F67" s="67"/>
      <c r="G67" s="69"/>
      <c r="H67" s="68"/>
      <c r="I67" s="68"/>
    </row>
    <row r="68" spans="1:9">
      <c r="A68" s="75"/>
      <c r="C68" s="113"/>
      <c r="D68" s="67"/>
      <c r="E68" s="67"/>
      <c r="F68" s="67"/>
      <c r="G68" s="69"/>
      <c r="H68" s="68"/>
      <c r="I68" s="68"/>
    </row>
    <row r="69" spans="1:9">
      <c r="A69" s="56" t="s">
        <v>168</v>
      </c>
      <c r="C69" s="113"/>
      <c r="D69" s="67">
        <f>'CAP15.2 - AMA CALC'!R92</f>
        <v>2400.0030000000002</v>
      </c>
      <c r="E69" s="67">
        <f>'CAP15.2 - AMA CALC'!S92</f>
        <v>1227.4472083333333</v>
      </c>
      <c r="F69" s="67"/>
      <c r="G69" s="69"/>
      <c r="H69" s="68"/>
      <c r="I69" s="68"/>
    </row>
    <row r="70" spans="1:9">
      <c r="A70" s="56"/>
      <c r="C70" s="113"/>
      <c r="F70" s="67"/>
      <c r="G70" s="69"/>
      <c r="H70" s="68"/>
      <c r="I70" s="68"/>
    </row>
    <row r="71" spans="1:9">
      <c r="A71" s="75" t="s">
        <v>99</v>
      </c>
      <c r="C71" s="113">
        <v>0.53520000000000001</v>
      </c>
      <c r="D71" s="67">
        <f>$C$71*D69</f>
        <v>1284.4816056000002</v>
      </c>
      <c r="E71" s="67">
        <f>$C$71*E69</f>
        <v>656.92974589999994</v>
      </c>
      <c r="F71" s="67"/>
      <c r="G71" s="69"/>
      <c r="H71" s="68"/>
      <c r="I71" s="68"/>
    </row>
    <row r="72" spans="1:9">
      <c r="A72" s="75" t="s">
        <v>101</v>
      </c>
      <c r="C72" s="113">
        <v>0.42270000000000002</v>
      </c>
      <c r="D72" s="67">
        <f>$C$72*D69</f>
        <v>1014.4812681000001</v>
      </c>
      <c r="E72" s="67">
        <f>$C$72*E69</f>
        <v>518.84193496249998</v>
      </c>
      <c r="F72" s="67"/>
      <c r="G72" s="69"/>
      <c r="H72" s="68"/>
      <c r="I72" s="68"/>
    </row>
    <row r="73" spans="1:9">
      <c r="A73" s="75" t="s">
        <v>40</v>
      </c>
      <c r="C73" s="113">
        <v>4.2099999999999999E-2</v>
      </c>
      <c r="D73" s="67">
        <f>D69*C73</f>
        <v>101.0401263</v>
      </c>
      <c r="E73" s="67">
        <f>C73*E69</f>
        <v>51.67552747083333</v>
      </c>
      <c r="F73" s="67"/>
      <c r="G73" s="69"/>
      <c r="H73" s="68"/>
      <c r="I73" s="68"/>
    </row>
    <row r="74" spans="1:9">
      <c r="A74" s="75"/>
      <c r="C74" s="114">
        <f>SUM(C71:C73)</f>
        <v>1</v>
      </c>
      <c r="D74" s="67"/>
      <c r="E74" s="67"/>
      <c r="F74" s="67"/>
      <c r="G74" s="69"/>
      <c r="H74" s="68"/>
      <c r="I74" s="68"/>
    </row>
    <row r="75" spans="1:9">
      <c r="A75" s="56" t="s">
        <v>170</v>
      </c>
      <c r="C75" s="113"/>
      <c r="D75" s="67">
        <f>'CAP15.2 - AMA CALC'!R100</f>
        <v>2000</v>
      </c>
      <c r="E75" s="67">
        <f>'CAP15.2 - AMA CALC'!S100</f>
        <v>1017.2837500000001</v>
      </c>
      <c r="F75" s="67"/>
      <c r="G75" s="69"/>
      <c r="H75" s="68"/>
      <c r="I75" s="68"/>
    </row>
    <row r="76" spans="1:9">
      <c r="A76" s="56"/>
      <c r="C76" s="113"/>
      <c r="F76" s="67"/>
      <c r="G76" s="69"/>
      <c r="H76" s="68"/>
      <c r="I76" s="68"/>
    </row>
    <row r="77" spans="1:9">
      <c r="A77" s="75" t="s">
        <v>99</v>
      </c>
      <c r="C77" s="113">
        <v>0.63729999999999998</v>
      </c>
      <c r="D77" s="67">
        <f>$C$77*D75</f>
        <v>1274.5999999999999</v>
      </c>
      <c r="E77" s="67">
        <f>$C$77*E75</f>
        <v>648.31493387500007</v>
      </c>
      <c r="F77" s="67"/>
      <c r="G77" s="69"/>
      <c r="H77" s="68"/>
      <c r="I77" s="68"/>
    </row>
    <row r="78" spans="1:9">
      <c r="A78" s="75" t="s">
        <v>101</v>
      </c>
      <c r="C78" s="113">
        <v>0.36270000000000002</v>
      </c>
      <c r="D78" s="67">
        <f>$C$78*D75</f>
        <v>725.40000000000009</v>
      </c>
      <c r="E78" s="67">
        <f>$C$78*E75</f>
        <v>368.96881612500005</v>
      </c>
      <c r="F78" s="67"/>
      <c r="G78" s="69"/>
      <c r="H78" s="68"/>
      <c r="I78" s="68"/>
    </row>
    <row r="79" spans="1:9">
      <c r="A79" s="75"/>
      <c r="C79" s="114">
        <f>SUM(C77:C78)</f>
        <v>1</v>
      </c>
      <c r="D79" s="67"/>
      <c r="E79" s="67"/>
      <c r="F79" s="67"/>
      <c r="G79" s="69"/>
      <c r="H79" s="68"/>
      <c r="I79" s="68"/>
    </row>
    <row r="80" spans="1:9">
      <c r="A80" s="75"/>
      <c r="C80" s="113"/>
      <c r="D80" s="67"/>
      <c r="E80" s="67"/>
      <c r="F80" s="67"/>
      <c r="G80" s="69"/>
      <c r="H80" s="68"/>
      <c r="I80" s="68"/>
    </row>
    <row r="81" spans="1:9">
      <c r="A81" s="56" t="s">
        <v>172</v>
      </c>
      <c r="C81" s="113"/>
      <c r="D81" s="67">
        <f>'CAP15.2 - AMA CALC'!R108</f>
        <v>16388.838</v>
      </c>
      <c r="E81" s="67">
        <f>'CAP15.2 - AMA CALC'!S108</f>
        <v>8356.1298333333343</v>
      </c>
      <c r="F81" s="67"/>
      <c r="G81" s="69"/>
      <c r="H81" s="68"/>
      <c r="I81" s="68"/>
    </row>
    <row r="82" spans="1:9">
      <c r="A82" s="56"/>
      <c r="C82" s="113"/>
      <c r="F82" s="67"/>
      <c r="G82" s="69"/>
      <c r="H82" s="68"/>
      <c r="I82" s="68"/>
    </row>
    <row r="83" spans="1:9">
      <c r="A83" s="75" t="s">
        <v>99</v>
      </c>
      <c r="C83" s="113">
        <v>0.65629999999999999</v>
      </c>
      <c r="D83" s="67">
        <f>$C$83*D81</f>
        <v>10755.994379399999</v>
      </c>
      <c r="E83" s="67">
        <f>$C$83*E81</f>
        <v>5484.1280096166674</v>
      </c>
      <c r="F83" s="67"/>
      <c r="G83" s="69"/>
      <c r="H83" s="68"/>
      <c r="I83" s="68"/>
    </row>
    <row r="84" spans="1:9">
      <c r="A84" s="75" t="s">
        <v>101</v>
      </c>
      <c r="C84" s="113">
        <v>0.34370000000000001</v>
      </c>
      <c r="D84" s="67">
        <f>$C$84*D81</f>
        <v>5632.8436205999997</v>
      </c>
      <c r="E84" s="67">
        <f>$C$84*E81</f>
        <v>2872.0018237166669</v>
      </c>
      <c r="F84" s="67"/>
      <c r="G84" s="69"/>
      <c r="H84" s="68"/>
      <c r="I84" s="68"/>
    </row>
    <row r="85" spans="1:9">
      <c r="A85" s="75"/>
      <c r="C85" s="114">
        <f>SUM(C83:C84)</f>
        <v>1</v>
      </c>
      <c r="D85" s="67"/>
      <c r="E85" s="67"/>
      <c r="F85" s="67"/>
      <c r="G85" s="69"/>
      <c r="H85" s="68"/>
      <c r="I85" s="68"/>
    </row>
    <row r="86" spans="1:9">
      <c r="A86" s="75"/>
      <c r="C86" s="113"/>
      <c r="D86" s="67"/>
      <c r="E86" s="67"/>
      <c r="F86" s="67"/>
      <c r="G86" s="69"/>
      <c r="H86" s="68"/>
      <c r="I86" s="68"/>
    </row>
    <row r="87" spans="1:9">
      <c r="A87" s="56" t="s">
        <v>174</v>
      </c>
      <c r="C87" s="113"/>
      <c r="D87" s="67">
        <f>'CAP15.2 - AMA CALC'!R116</f>
        <v>155.31200000000001</v>
      </c>
      <c r="E87" s="67">
        <f>'CAP15.2 - AMA CALC'!S116</f>
        <v>40.989333333333327</v>
      </c>
      <c r="F87" s="67"/>
      <c r="G87" s="69"/>
      <c r="H87" s="68"/>
      <c r="I87" s="68"/>
    </row>
    <row r="88" spans="1:9">
      <c r="A88" s="56"/>
      <c r="C88" s="113"/>
      <c r="F88" s="67"/>
      <c r="G88" s="69"/>
      <c r="H88" s="68"/>
      <c r="I88" s="68"/>
    </row>
    <row r="89" spans="1:9">
      <c r="A89" s="75" t="s">
        <v>99</v>
      </c>
      <c r="C89" s="113">
        <v>7.1000000000000004E-3</v>
      </c>
      <c r="D89" s="67">
        <f>$C$89*D87</f>
        <v>1.1027152000000002</v>
      </c>
      <c r="E89" s="67">
        <f>$C$89*E87</f>
        <v>0.29102426666666664</v>
      </c>
      <c r="F89" s="67"/>
      <c r="G89" s="69"/>
      <c r="H89" s="68"/>
      <c r="I89" s="68"/>
    </row>
    <row r="90" spans="1:9">
      <c r="A90" s="75" t="s">
        <v>101</v>
      </c>
      <c r="C90" s="113">
        <v>0.58279999999999998</v>
      </c>
      <c r="D90" s="67">
        <f>$C$90*D87</f>
        <v>90.515833600000008</v>
      </c>
      <c r="E90" s="67">
        <f>$C$90*E87</f>
        <v>23.888583466666663</v>
      </c>
      <c r="F90" s="67"/>
      <c r="G90" s="69"/>
      <c r="H90" s="68"/>
      <c r="I90" s="68"/>
    </row>
    <row r="91" spans="1:9">
      <c r="A91" s="75" t="s">
        <v>40</v>
      </c>
      <c r="C91" s="113">
        <v>0.41010000000000002</v>
      </c>
      <c r="D91" s="67">
        <f>C91*D87</f>
        <v>63.693451200000005</v>
      </c>
      <c r="E91" s="67">
        <f>C91*E87</f>
        <v>16.8097256</v>
      </c>
      <c r="F91" s="67"/>
      <c r="G91" s="69"/>
      <c r="H91" s="68"/>
      <c r="I91" s="68"/>
    </row>
    <row r="92" spans="1:9">
      <c r="C92" s="114">
        <f>SUM(C89:C91)</f>
        <v>1</v>
      </c>
      <c r="G92" s="69"/>
    </row>
    <row r="93" spans="1:9">
      <c r="C93" s="113"/>
      <c r="G93" s="69"/>
    </row>
    <row r="94" spans="1:9">
      <c r="A94" s="56" t="s">
        <v>220</v>
      </c>
      <c r="C94" s="113"/>
      <c r="D94" s="67">
        <f>'CAP15.2 - AMA CALC'!R124</f>
        <v>4850</v>
      </c>
      <c r="E94" s="67">
        <f>'CAP15.2 - AMA CALC'!S124</f>
        <v>2481.8995</v>
      </c>
      <c r="G94" s="69"/>
    </row>
    <row r="95" spans="1:9">
      <c r="A95" s="56"/>
      <c r="C95" s="113"/>
      <c r="G95" s="69"/>
    </row>
    <row r="96" spans="1:9">
      <c r="A96" s="75" t="s">
        <v>99</v>
      </c>
      <c r="C96" s="113">
        <v>0.76259999999999994</v>
      </c>
      <c r="D96" s="67">
        <f>$C$96*D94</f>
        <v>3698.6099999999997</v>
      </c>
      <c r="E96" s="67">
        <f>$C$96*E94</f>
        <v>1892.6965586999997</v>
      </c>
      <c r="G96" s="69"/>
    </row>
    <row r="97" spans="1:9">
      <c r="A97" s="75" t="s">
        <v>101</v>
      </c>
      <c r="C97" s="113">
        <v>0.2374</v>
      </c>
      <c r="D97" s="67">
        <f>$C$97*D94</f>
        <v>1151.3900000000001</v>
      </c>
      <c r="E97" s="67">
        <f>$C$97*E94</f>
        <v>589.20294130000002</v>
      </c>
      <c r="G97" s="69"/>
    </row>
    <row r="98" spans="1:9">
      <c r="A98" s="75" t="s">
        <v>40</v>
      </c>
      <c r="C98" s="113">
        <v>0</v>
      </c>
      <c r="D98" s="67">
        <f>C98*D94</f>
        <v>0</v>
      </c>
      <c r="E98" s="67">
        <f>D98*E94</f>
        <v>0</v>
      </c>
      <c r="G98" s="69"/>
    </row>
    <row r="99" spans="1:9">
      <c r="A99" s="75"/>
      <c r="C99" s="114">
        <f>SUM(C96:C98)</f>
        <v>1</v>
      </c>
      <c r="D99" s="67"/>
      <c r="E99" s="67"/>
      <c r="G99" s="69"/>
    </row>
    <row r="100" spans="1:9">
      <c r="A100" s="75"/>
      <c r="C100" s="114"/>
      <c r="D100" s="67"/>
      <c r="E100" s="67"/>
      <c r="G100" s="69"/>
    </row>
    <row r="101" spans="1:9">
      <c r="A101" s="75" t="s">
        <v>99</v>
      </c>
      <c r="C101" s="113"/>
      <c r="D101" s="67">
        <f>D96+D89+D83+D77+D71+D65+D59+D53+D47</f>
        <v>37063.660438640916</v>
      </c>
      <c r="E101" s="67">
        <f>E96+E89+E83+E77+E71+E65+E59+E53+E47</f>
        <v>16135.808451562703</v>
      </c>
      <c r="G101" s="69"/>
    </row>
    <row r="102" spans="1:9">
      <c r="A102" s="75" t="s">
        <v>101</v>
      </c>
      <c r="C102" s="113"/>
      <c r="D102" s="67">
        <f t="shared" ref="D102:E102" si="0">D97+D90+D84+D78+D72+D66+D60+D54+D48</f>
        <v>19003.741561359075</v>
      </c>
      <c r="E102" s="67">
        <f t="shared" si="0"/>
        <v>8224.2813817706283</v>
      </c>
      <c r="G102" s="69"/>
    </row>
    <row r="103" spans="1:9">
      <c r="A103" s="75" t="s">
        <v>40</v>
      </c>
      <c r="C103" s="113"/>
      <c r="D103" s="67">
        <f>D98+D91+D85+D79+D73+D67+D61+D55+D49</f>
        <v>164.7335775</v>
      </c>
      <c r="E103" s="67">
        <f t="shared" ref="E103" si="1">E98+E91+E85+E79+E73+E67+E61+E55+E49</f>
        <v>68.485253070833323</v>
      </c>
      <c r="G103" s="69"/>
    </row>
    <row r="104" spans="1:9">
      <c r="C104" s="110"/>
      <c r="G104" s="69"/>
    </row>
    <row r="105" spans="1:9">
      <c r="A105" s="101" t="s">
        <v>107</v>
      </c>
      <c r="D105" s="67">
        <f>'CAP15.2 - AMA CALC'!R149</f>
        <v>35943.487999999998</v>
      </c>
      <c r="E105" s="67">
        <f>'CAP15.2 - AMA CALC'!S149</f>
        <v>8410.1743333333343</v>
      </c>
      <c r="F105" s="67"/>
      <c r="G105" s="69"/>
      <c r="H105" s="68"/>
      <c r="I105" s="68"/>
    </row>
    <row r="106" spans="1:9">
      <c r="A106" s="56"/>
      <c r="C106" s="81"/>
      <c r="G106" s="69"/>
    </row>
    <row r="107" spans="1:9">
      <c r="A107" s="75" t="s">
        <v>106</v>
      </c>
      <c r="C107" s="82">
        <f>$C$366</f>
        <v>0.71289999999999998</v>
      </c>
      <c r="D107" s="67">
        <f>$C$107*D105</f>
        <v>25624.112595199997</v>
      </c>
      <c r="E107" s="67">
        <f>$C$107*E105</f>
        <v>5995.6132822333338</v>
      </c>
      <c r="F107" s="67"/>
      <c r="G107" s="69"/>
      <c r="H107" s="68"/>
      <c r="I107" s="68"/>
    </row>
    <row r="108" spans="1:9">
      <c r="A108" s="75" t="s">
        <v>111</v>
      </c>
      <c r="C108" s="82">
        <f>$D$366</f>
        <v>0.19822000000000001</v>
      </c>
      <c r="D108" s="67">
        <f>$C$108*D105</f>
        <v>7124.7181913599998</v>
      </c>
      <c r="E108" s="67">
        <f>$C$108*E105</f>
        <v>1667.0647563533337</v>
      </c>
      <c r="F108" s="67"/>
      <c r="G108" s="69"/>
      <c r="H108" s="68"/>
      <c r="I108" s="68"/>
    </row>
    <row r="109" spans="1:9">
      <c r="A109" s="75" t="s">
        <v>112</v>
      </c>
      <c r="C109" s="82">
        <f>$E$366</f>
        <v>8.8880000000000001E-2</v>
      </c>
      <c r="D109" s="67">
        <f>$C$109*D105</f>
        <v>3194.6572134399999</v>
      </c>
      <c r="E109" s="67">
        <f>$C$109*E105</f>
        <v>747.49629474666676</v>
      </c>
      <c r="F109" s="67"/>
      <c r="G109" s="69"/>
      <c r="H109" s="68"/>
      <c r="I109" s="68"/>
    </row>
    <row r="110" spans="1:9">
      <c r="A110" s="75"/>
      <c r="C110" s="83"/>
      <c r="G110" s="69"/>
    </row>
    <row r="111" spans="1:9">
      <c r="A111" s="75" t="s">
        <v>99</v>
      </c>
      <c r="C111" s="82">
        <f>$C$365</f>
        <v>0.67676999999999998</v>
      </c>
      <c r="D111" s="67">
        <f>$C$111*D107</f>
        <v>17341.630681053502</v>
      </c>
      <c r="E111" s="67">
        <f>$C$111*E107</f>
        <v>4057.6512010170532</v>
      </c>
      <c r="F111" s="67"/>
      <c r="G111" s="69"/>
      <c r="H111" s="68"/>
      <c r="I111" s="68"/>
    </row>
    <row r="112" spans="1:9">
      <c r="A112" s="75" t="s">
        <v>101</v>
      </c>
      <c r="C112" s="82">
        <f>$D$365</f>
        <v>0.32323000000000002</v>
      </c>
      <c r="D112" s="67">
        <f>$C$112*D107</f>
        <v>8282.4819141464959</v>
      </c>
      <c r="E112" s="67">
        <f>$C$112*E107</f>
        <v>1937.9620812162807</v>
      </c>
      <c r="F112" s="67"/>
      <c r="G112" s="69"/>
      <c r="H112" s="68"/>
      <c r="I112" s="68"/>
    </row>
    <row r="113" spans="1:9">
      <c r="C113" s="83"/>
      <c r="G113" s="69"/>
    </row>
    <row r="114" spans="1:9">
      <c r="A114" s="75" t="s">
        <v>108</v>
      </c>
      <c r="C114" s="82">
        <f>$C$375</f>
        <v>0.72184999999999999</v>
      </c>
      <c r="D114" s="67">
        <f>$C$114*D108</f>
        <v>5142.9778264332153</v>
      </c>
      <c r="E114" s="67">
        <f>$C$114*E108</f>
        <v>1203.3706943736538</v>
      </c>
      <c r="F114" s="67"/>
      <c r="G114" s="69"/>
      <c r="H114" s="68"/>
      <c r="I114" s="68"/>
    </row>
    <row r="115" spans="1:9">
      <c r="A115" s="75" t="s">
        <v>109</v>
      </c>
      <c r="C115" s="82">
        <f>$D$375</f>
        <v>0.27815000000000001</v>
      </c>
      <c r="D115" s="67">
        <f>$C$115*D108</f>
        <v>1981.740364926784</v>
      </c>
      <c r="E115" s="67">
        <f>$C$115*E108</f>
        <v>463.69406197967976</v>
      </c>
      <c r="F115" s="67"/>
      <c r="G115" s="69"/>
      <c r="H115" s="68"/>
      <c r="I115" s="68"/>
    </row>
    <row r="116" spans="1:9">
      <c r="A116" s="75" t="s">
        <v>110</v>
      </c>
      <c r="C116" s="3" t="s">
        <v>112</v>
      </c>
      <c r="D116" s="67">
        <f>D109</f>
        <v>3194.6572134399999</v>
      </c>
      <c r="E116" s="67">
        <f>E109</f>
        <v>747.49629474666676</v>
      </c>
      <c r="F116" s="67"/>
      <c r="G116" s="69"/>
      <c r="H116" s="68"/>
      <c r="I116" s="68"/>
    </row>
    <row r="117" spans="1:9">
      <c r="G117" s="69"/>
    </row>
    <row r="118" spans="1:9">
      <c r="A118" s="101" t="s">
        <v>387</v>
      </c>
      <c r="D118" s="67">
        <f>'CAP15.2 - AMA CALC'!R156</f>
        <v>969.024</v>
      </c>
      <c r="E118" s="67">
        <f>'CAP15.2 - AMA CALC'!S156</f>
        <v>214.87649999999999</v>
      </c>
      <c r="G118" s="69"/>
    </row>
    <row r="119" spans="1:9">
      <c r="A119" s="56"/>
      <c r="C119" s="81"/>
      <c r="G119" s="69"/>
    </row>
    <row r="120" spans="1:9">
      <c r="A120" s="75"/>
      <c r="C120" s="83"/>
      <c r="G120" s="69"/>
    </row>
    <row r="121" spans="1:9">
      <c r="A121" s="75" t="s">
        <v>99</v>
      </c>
      <c r="C121" s="76">
        <f>$C$362</f>
        <v>0.65190000000000003</v>
      </c>
      <c r="D121" s="67">
        <f>D118*C121</f>
        <v>631.70674560000009</v>
      </c>
      <c r="E121" s="67">
        <f>E118*C121</f>
        <v>140.07799034999999</v>
      </c>
      <c r="G121" s="69"/>
    </row>
    <row r="122" spans="1:9">
      <c r="A122" s="70" t="s">
        <v>101</v>
      </c>
      <c r="C122" s="76">
        <f>$D$362</f>
        <v>0.34810000000000002</v>
      </c>
      <c r="D122" s="67">
        <f>D118*C122</f>
        <v>337.31725440000002</v>
      </c>
      <c r="E122" s="67">
        <f>E118*C122</f>
        <v>74.79850965</v>
      </c>
      <c r="G122" s="69"/>
    </row>
    <row r="123" spans="1:9">
      <c r="A123" s="3"/>
      <c r="C123" s="83"/>
      <c r="G123" s="69"/>
    </row>
    <row r="124" spans="1:9">
      <c r="A124" s="101" t="s">
        <v>389</v>
      </c>
      <c r="C124" s="83"/>
      <c r="D124" s="67">
        <f>'CAP15.2 - AMA CALC'!R177</f>
        <v>500</v>
      </c>
      <c r="E124" s="67">
        <f>'CAP15.2 - AMA CALC'!S177</f>
        <v>20.833333333333332</v>
      </c>
      <c r="G124" s="69"/>
    </row>
    <row r="125" spans="1:9">
      <c r="A125" s="3"/>
      <c r="C125" s="83"/>
      <c r="G125" s="69"/>
    </row>
    <row r="126" spans="1:9">
      <c r="A126" s="70" t="s">
        <v>106</v>
      </c>
      <c r="C126" s="76">
        <f>C367</f>
        <v>0.78641000000000005</v>
      </c>
      <c r="D126" s="187">
        <f>D124*C126</f>
        <v>393.20500000000004</v>
      </c>
      <c r="E126" s="187">
        <f>E124*C126</f>
        <v>16.383541666666666</v>
      </c>
      <c r="G126" s="69"/>
    </row>
    <row r="127" spans="1:9">
      <c r="A127" s="70" t="s">
        <v>111</v>
      </c>
      <c r="C127" s="76">
        <f>D367</f>
        <v>0.21359</v>
      </c>
      <c r="D127" s="187">
        <f>D124*C127</f>
        <v>106.795</v>
      </c>
      <c r="E127" s="187">
        <f>E124*C127</f>
        <v>4.4497916666666661</v>
      </c>
      <c r="G127" s="69"/>
    </row>
    <row r="128" spans="1:9">
      <c r="A128" s="3"/>
      <c r="C128" s="85"/>
      <c r="G128" s="69"/>
    </row>
    <row r="129" spans="1:7">
      <c r="A129" s="70" t="s">
        <v>99</v>
      </c>
      <c r="C129" s="188">
        <f>C362</f>
        <v>0.65190000000000003</v>
      </c>
      <c r="D129" s="187">
        <f>D126*C129</f>
        <v>256.33033950000004</v>
      </c>
      <c r="E129" s="187">
        <f>E126*C129</f>
        <v>10.680430812500001</v>
      </c>
      <c r="G129" s="69"/>
    </row>
    <row r="130" spans="1:7">
      <c r="A130" s="70" t="s">
        <v>101</v>
      </c>
      <c r="C130" s="188">
        <f>D362</f>
        <v>0.34810000000000002</v>
      </c>
      <c r="D130" s="187">
        <f>D126*C130</f>
        <v>136.87466050000003</v>
      </c>
      <c r="E130" s="187">
        <f>E126*C130</f>
        <v>5.7031108541666669</v>
      </c>
      <c r="G130" s="69"/>
    </row>
    <row r="131" spans="1:7">
      <c r="A131" s="3"/>
      <c r="C131" s="85"/>
      <c r="G131" s="69"/>
    </row>
    <row r="132" spans="1:7">
      <c r="A132" s="70" t="s">
        <v>108</v>
      </c>
      <c r="C132" s="188">
        <f>C372</f>
        <v>0.70269999999999999</v>
      </c>
      <c r="D132" s="187">
        <f>D127*C132</f>
        <v>75.044846500000006</v>
      </c>
      <c r="E132" s="187">
        <f>E127*C132</f>
        <v>3.1268686041666665</v>
      </c>
      <c r="G132" s="69"/>
    </row>
    <row r="133" spans="1:7">
      <c r="A133" s="70" t="s">
        <v>109</v>
      </c>
      <c r="C133" s="188">
        <f>D372</f>
        <v>0.29730000000000001</v>
      </c>
      <c r="D133" s="187">
        <f>D127*C133</f>
        <v>31.7501535</v>
      </c>
      <c r="E133" s="187">
        <f>E127*C133</f>
        <v>1.3229230624999999</v>
      </c>
      <c r="G133" s="69"/>
    </row>
    <row r="134" spans="1:7">
      <c r="A134" s="3"/>
      <c r="C134" s="85"/>
      <c r="G134" s="69"/>
    </row>
    <row r="135" spans="1:7">
      <c r="A135" s="3"/>
      <c r="C135" s="85"/>
      <c r="G135" s="69"/>
    </row>
    <row r="136" spans="1:7">
      <c r="A136" s="3"/>
      <c r="B136" s="3"/>
      <c r="C136" s="83"/>
      <c r="G136" s="69"/>
    </row>
    <row r="137" spans="1:7">
      <c r="A137" s="101" t="s">
        <v>388</v>
      </c>
      <c r="B137" s="3"/>
      <c r="C137" s="83"/>
      <c r="D137" s="67">
        <f>'CAP15.2 - AMA CALC'!R170</f>
        <v>4200</v>
      </c>
      <c r="E137" s="67">
        <f>'CAP15.2 - AMA CALC'!S170</f>
        <v>2488.9913333333334</v>
      </c>
      <c r="G137" s="69"/>
    </row>
    <row r="138" spans="1:7">
      <c r="A138" s="3"/>
      <c r="B138" s="3"/>
      <c r="C138" s="83"/>
      <c r="G138" s="69"/>
    </row>
    <row r="139" spans="1:7">
      <c r="A139" s="70" t="s">
        <v>99</v>
      </c>
      <c r="B139" s="3"/>
      <c r="C139" s="82">
        <v>0.78641000000000005</v>
      </c>
      <c r="D139" s="67">
        <f>D137*C139</f>
        <v>3302.922</v>
      </c>
      <c r="E139" s="67">
        <f>E137*C139</f>
        <v>1957.3676744466668</v>
      </c>
      <c r="G139" s="69"/>
    </row>
    <row r="140" spans="1:7">
      <c r="A140" s="70" t="s">
        <v>108</v>
      </c>
      <c r="B140" s="3"/>
      <c r="C140" s="82">
        <v>0.21359</v>
      </c>
      <c r="D140" s="67">
        <f>D137*C140</f>
        <v>897.07799999999997</v>
      </c>
      <c r="E140" s="67">
        <f>E137*C140</f>
        <v>531.6236588866667</v>
      </c>
      <c r="G140" s="69"/>
    </row>
    <row r="141" spans="1:7">
      <c r="C141" s="83"/>
      <c r="G141" s="69"/>
    </row>
    <row r="142" spans="1:7">
      <c r="A142" s="101" t="s">
        <v>388</v>
      </c>
      <c r="C142" s="83"/>
      <c r="D142" s="67">
        <f>'CAP15.2 - AMA CALC'!R163</f>
        <v>2750</v>
      </c>
      <c r="E142" s="67">
        <f>'CAP15.2 - AMA CALC'!S163</f>
        <v>114.58333333333333</v>
      </c>
      <c r="G142" s="69"/>
    </row>
    <row r="143" spans="1:7">
      <c r="C143" s="83"/>
      <c r="G143" s="69"/>
    </row>
    <row r="144" spans="1:7">
      <c r="A144" s="70" t="s">
        <v>99</v>
      </c>
      <c r="B144" s="3"/>
      <c r="C144" s="82">
        <v>0.78641000000000005</v>
      </c>
      <c r="D144" s="67">
        <f>D142*C144</f>
        <v>2162.6275000000001</v>
      </c>
      <c r="E144" s="67">
        <f>E142*C144</f>
        <v>90.109479166666674</v>
      </c>
      <c r="G144" s="69"/>
    </row>
    <row r="145" spans="1:9">
      <c r="A145" s="70" t="s">
        <v>108</v>
      </c>
      <c r="B145" s="3"/>
      <c r="C145" s="82">
        <v>0.21359</v>
      </c>
      <c r="D145" s="67">
        <f>D142*C145</f>
        <v>587.37250000000006</v>
      </c>
      <c r="E145" s="67">
        <f>E142*C145</f>
        <v>24.473854166666666</v>
      </c>
      <c r="G145" s="69"/>
    </row>
    <row r="146" spans="1:9">
      <c r="G146" s="69"/>
    </row>
    <row r="147" spans="1:9">
      <c r="A147" s="102" t="s">
        <v>113</v>
      </c>
      <c r="D147" s="67">
        <f>'CAP15.2 - AMA CALC'!R186</f>
        <v>7700</v>
      </c>
      <c r="E147" s="67">
        <f>'CAP15.2 - AMA CALC'!S186</f>
        <v>3851.0427499999992</v>
      </c>
      <c r="F147" s="67"/>
      <c r="G147" s="69"/>
      <c r="H147" s="68"/>
      <c r="I147" s="68"/>
    </row>
    <row r="148" spans="1:9">
      <c r="G148" s="69"/>
    </row>
    <row r="149" spans="1:9">
      <c r="A149" s="75" t="s">
        <v>106</v>
      </c>
      <c r="C149" s="82">
        <f>$C$366</f>
        <v>0.71289999999999998</v>
      </c>
      <c r="D149" s="67">
        <f>$C$149*D147</f>
        <v>5489.33</v>
      </c>
      <c r="E149" s="67">
        <f>$C$149*E147</f>
        <v>2745.4083764749994</v>
      </c>
      <c r="F149" s="67"/>
      <c r="G149" s="69"/>
      <c r="H149" s="68"/>
      <c r="I149" s="68"/>
    </row>
    <row r="150" spans="1:9">
      <c r="A150" s="75" t="s">
        <v>111</v>
      </c>
      <c r="C150" s="82">
        <f>$D$366</f>
        <v>0.19822000000000001</v>
      </c>
      <c r="D150" s="67">
        <f>$C$150*D147</f>
        <v>1526.2940000000001</v>
      </c>
      <c r="E150" s="67">
        <f>$C$150*E147</f>
        <v>763.35369390499989</v>
      </c>
      <c r="F150" s="67"/>
      <c r="G150" s="69"/>
      <c r="H150" s="68"/>
      <c r="I150" s="68"/>
    </row>
    <row r="151" spans="1:9">
      <c r="A151" s="75" t="s">
        <v>112</v>
      </c>
      <c r="C151" s="82">
        <f>$E$366</f>
        <v>8.8880000000000001E-2</v>
      </c>
      <c r="D151" s="67">
        <f>$C$151*D147</f>
        <v>684.37599999999998</v>
      </c>
      <c r="E151" s="67">
        <f>$C$151*E147</f>
        <v>342.28067961999994</v>
      </c>
      <c r="F151" s="67"/>
      <c r="G151" s="69"/>
      <c r="H151" s="68"/>
      <c r="I151" s="68"/>
    </row>
    <row r="152" spans="1:9">
      <c r="A152" s="75"/>
      <c r="C152" s="83"/>
      <c r="G152" s="69"/>
    </row>
    <row r="153" spans="1:9">
      <c r="A153" s="75" t="s">
        <v>99</v>
      </c>
      <c r="C153" s="82">
        <f>$C$365</f>
        <v>0.67676999999999998</v>
      </c>
      <c r="D153" s="67">
        <f>$C$153*D149</f>
        <v>3715.0138640999999</v>
      </c>
      <c r="E153" s="67">
        <f>$C$153*E149</f>
        <v>1858.0100269469854</v>
      </c>
      <c r="F153" s="67"/>
      <c r="G153" s="69"/>
      <c r="H153" s="68"/>
      <c r="I153" s="68"/>
    </row>
    <row r="154" spans="1:9">
      <c r="A154" s="75" t="s">
        <v>101</v>
      </c>
      <c r="C154" s="82">
        <f>$D$365</f>
        <v>0.32323000000000002</v>
      </c>
      <c r="D154" s="67">
        <f>$C$154*D149</f>
        <v>1774.3161359000001</v>
      </c>
      <c r="E154" s="67">
        <f>$C$154*E149</f>
        <v>887.39834952801414</v>
      </c>
      <c r="F154" s="67"/>
      <c r="G154" s="69"/>
      <c r="H154" s="68"/>
      <c r="I154" s="68"/>
    </row>
    <row r="155" spans="1:9">
      <c r="C155" s="83"/>
      <c r="G155" s="69"/>
    </row>
    <row r="156" spans="1:9">
      <c r="A156" s="75" t="s">
        <v>108</v>
      </c>
      <c r="C156" s="82">
        <f>$C$375</f>
        <v>0.72184999999999999</v>
      </c>
      <c r="D156" s="67">
        <f>$C$156*D150</f>
        <v>1101.7553239000001</v>
      </c>
      <c r="E156" s="67">
        <f>$C$156*E150</f>
        <v>551.02686394532418</v>
      </c>
      <c r="F156" s="67"/>
      <c r="G156" s="69"/>
      <c r="H156" s="68"/>
      <c r="I156" s="68"/>
    </row>
    <row r="157" spans="1:9">
      <c r="A157" s="75" t="s">
        <v>109</v>
      </c>
      <c r="C157" s="82">
        <f>$D$375</f>
        <v>0.27815000000000001</v>
      </c>
      <c r="D157" s="67">
        <f>$C$157*D150</f>
        <v>424.53867610000003</v>
      </c>
      <c r="E157" s="67">
        <f>$C$157*E150</f>
        <v>212.32682995967573</v>
      </c>
      <c r="F157" s="67"/>
      <c r="G157" s="69"/>
      <c r="H157" s="68"/>
      <c r="I157" s="68"/>
    </row>
    <row r="158" spans="1:9">
      <c r="A158" s="75" t="s">
        <v>110</v>
      </c>
      <c r="C158" s="3" t="str">
        <f>A151</f>
        <v>Gas South</v>
      </c>
      <c r="D158" s="67">
        <f>D151</f>
        <v>684.37599999999998</v>
      </c>
      <c r="E158" s="67">
        <f>E151</f>
        <v>342.28067961999994</v>
      </c>
      <c r="F158" s="67"/>
      <c r="G158" s="69"/>
      <c r="H158" s="68"/>
      <c r="I158" s="68"/>
    </row>
    <row r="159" spans="1:9">
      <c r="A159" s="103"/>
      <c r="G159" s="69"/>
    </row>
    <row r="160" spans="1:9">
      <c r="A160" s="56"/>
      <c r="G160" s="69"/>
    </row>
    <row r="161" spans="1:9" ht="25.5">
      <c r="A161" s="104" t="s">
        <v>272</v>
      </c>
      <c r="D161" s="67">
        <f>'CAP15.2 - AMA CALC'!R194</f>
        <v>29748.927</v>
      </c>
      <c r="E161" s="67">
        <f>'CAP15.2 - AMA CALC'!S194</f>
        <v>11191.428541666668</v>
      </c>
      <c r="F161" s="67"/>
      <c r="G161" s="69"/>
      <c r="H161" s="68"/>
      <c r="I161" s="68"/>
    </row>
    <row r="162" spans="1:9">
      <c r="G162" s="69"/>
    </row>
    <row r="163" spans="1:9">
      <c r="A163" s="75" t="s">
        <v>106</v>
      </c>
      <c r="C163" s="82">
        <f>$C$366</f>
        <v>0.71289999999999998</v>
      </c>
      <c r="D163" s="67">
        <f>$C$163*D161</f>
        <v>21208.010058299998</v>
      </c>
      <c r="E163" s="67">
        <f>$C$163*E161</f>
        <v>7978.3694073541674</v>
      </c>
      <c r="F163" s="67"/>
      <c r="G163" s="69"/>
      <c r="H163" s="68"/>
      <c r="I163" s="68"/>
    </row>
    <row r="164" spans="1:9">
      <c r="A164" s="75" t="s">
        <v>111</v>
      </c>
      <c r="C164" s="82">
        <f>$D$366</f>
        <v>0.19822000000000001</v>
      </c>
      <c r="D164" s="67">
        <f>$C$164*D161</f>
        <v>5896.8323099400004</v>
      </c>
      <c r="E164" s="67">
        <f>$C$164*E161</f>
        <v>2218.364965529167</v>
      </c>
      <c r="F164" s="67"/>
      <c r="G164" s="69"/>
      <c r="H164" s="68"/>
      <c r="I164" s="68"/>
    </row>
    <row r="165" spans="1:9">
      <c r="A165" s="75" t="s">
        <v>112</v>
      </c>
      <c r="C165" s="82">
        <f>$E$366</f>
        <v>8.8880000000000001E-2</v>
      </c>
      <c r="D165" s="67">
        <f>$C$165*D161</f>
        <v>2644.0846317599999</v>
      </c>
      <c r="E165" s="67">
        <f>$C$165*E161</f>
        <v>994.69416878333345</v>
      </c>
      <c r="F165" s="67"/>
      <c r="G165" s="69"/>
      <c r="H165" s="68"/>
      <c r="I165" s="68"/>
    </row>
    <row r="166" spans="1:9">
      <c r="A166" s="75"/>
      <c r="C166" s="83"/>
      <c r="G166" s="69"/>
    </row>
    <row r="167" spans="1:9">
      <c r="A167" s="75" t="s">
        <v>99</v>
      </c>
      <c r="C167" s="82">
        <f>$C$365</f>
        <v>0.67676999999999998</v>
      </c>
      <c r="D167" s="67">
        <f>$C$167*D163</f>
        <v>14352.94496715569</v>
      </c>
      <c r="E167" s="67">
        <f>$C$167*E163</f>
        <v>5399.5210638150793</v>
      </c>
      <c r="F167" s="67"/>
      <c r="G167" s="69"/>
      <c r="H167" s="68"/>
      <c r="I167" s="68"/>
    </row>
    <row r="168" spans="1:9">
      <c r="A168" s="75" t="s">
        <v>101</v>
      </c>
      <c r="C168" s="82">
        <f>$D$365</f>
        <v>0.32323000000000002</v>
      </c>
      <c r="D168" s="67">
        <f>$C$168*D163</f>
        <v>6855.065091144309</v>
      </c>
      <c r="E168" s="67">
        <f>$C$168*E163</f>
        <v>2578.8483435390876</v>
      </c>
      <c r="F168" s="67"/>
      <c r="G168" s="69"/>
      <c r="H168" s="68"/>
      <c r="I168" s="68"/>
    </row>
    <row r="169" spans="1:9">
      <c r="C169" s="83"/>
      <c r="G169" s="69"/>
    </row>
    <row r="170" spans="1:9">
      <c r="A170" s="75" t="s">
        <v>108</v>
      </c>
      <c r="C170" s="82">
        <f>$C$375</f>
        <v>0.72184999999999999</v>
      </c>
      <c r="D170" s="67">
        <f>$C$170*D164</f>
        <v>4256.6284029301896</v>
      </c>
      <c r="E170" s="67">
        <f>$C$170*E164</f>
        <v>1601.3267503672291</v>
      </c>
      <c r="F170" s="67"/>
      <c r="G170" s="69"/>
      <c r="H170" s="68"/>
      <c r="I170" s="68"/>
    </row>
    <row r="171" spans="1:9">
      <c r="A171" s="75" t="s">
        <v>109</v>
      </c>
      <c r="C171" s="82">
        <f>$D$375</f>
        <v>0.27815000000000001</v>
      </c>
      <c r="D171" s="67">
        <f>$C$171*D164</f>
        <v>1640.2039070098112</v>
      </c>
      <c r="E171" s="67">
        <f>$C$171*E164</f>
        <v>617.03821516193784</v>
      </c>
      <c r="F171" s="67"/>
      <c r="G171" s="69"/>
      <c r="H171" s="68"/>
      <c r="I171" s="68"/>
    </row>
    <row r="172" spans="1:9">
      <c r="A172" s="75" t="s">
        <v>110</v>
      </c>
      <c r="C172" s="3" t="s">
        <v>112</v>
      </c>
      <c r="D172" s="67">
        <f>D165</f>
        <v>2644.0846317599999</v>
      </c>
      <c r="E172" s="67">
        <f>E165</f>
        <v>994.69416878333345</v>
      </c>
      <c r="F172" s="67"/>
      <c r="G172" s="84"/>
      <c r="H172" s="84"/>
      <c r="I172" s="68"/>
    </row>
    <row r="173" spans="1:9">
      <c r="A173" s="75"/>
      <c r="D173" s="67"/>
      <c r="E173" s="67"/>
      <c r="F173" s="67"/>
      <c r="G173" s="84"/>
      <c r="H173" s="84"/>
      <c r="I173" s="68"/>
    </row>
    <row r="174" spans="1:9" ht="38.25">
      <c r="A174" s="104" t="s">
        <v>406</v>
      </c>
      <c r="D174" s="67">
        <f>'CAP15.2 - AMA CALC'!R201</f>
        <v>95108.320999999996</v>
      </c>
      <c r="E174" s="67">
        <f>'CAP15.2 - AMA CALC'!S201</f>
        <v>81280.994958333336</v>
      </c>
      <c r="F174" s="67"/>
      <c r="G174" s="84"/>
      <c r="H174" s="84"/>
      <c r="I174" s="68"/>
    </row>
    <row r="175" spans="1:9">
      <c r="F175" s="67"/>
      <c r="G175" s="84"/>
      <c r="H175" s="84"/>
      <c r="I175" s="68"/>
    </row>
    <row r="176" spans="1:9">
      <c r="A176" s="75" t="s">
        <v>106</v>
      </c>
      <c r="C176" s="82">
        <f>$C$366</f>
        <v>0.71289999999999998</v>
      </c>
      <c r="D176" s="67">
        <f>$C$163*D174</f>
        <v>67802.7220409</v>
      </c>
      <c r="E176" s="67">
        <f>$C$163*E174</f>
        <v>57945.221305795836</v>
      </c>
      <c r="F176" s="67"/>
      <c r="G176" s="84"/>
      <c r="H176" s="84"/>
      <c r="I176" s="68"/>
    </row>
    <row r="177" spans="1:9">
      <c r="A177" s="75" t="s">
        <v>111</v>
      </c>
      <c r="C177" s="82">
        <f>$D$366</f>
        <v>0.19822000000000001</v>
      </c>
      <c r="D177" s="67">
        <f>$C$164*D174</f>
        <v>18852.371388619998</v>
      </c>
      <c r="E177" s="67">
        <f>$C$164*E174</f>
        <v>16111.518820640835</v>
      </c>
      <c r="F177" s="67"/>
      <c r="G177" s="84"/>
      <c r="H177" s="84"/>
      <c r="I177" s="68"/>
    </row>
    <row r="178" spans="1:9">
      <c r="A178" s="75" t="s">
        <v>112</v>
      </c>
      <c r="C178" s="82">
        <f>$E$366</f>
        <v>8.8880000000000001E-2</v>
      </c>
      <c r="D178" s="67">
        <f>$C$165*D174</f>
        <v>8453.2275704799995</v>
      </c>
      <c r="E178" s="67">
        <f>$C$165*E174</f>
        <v>7224.2548318966674</v>
      </c>
      <c r="F178" s="67"/>
      <c r="G178" s="84"/>
      <c r="H178" s="84"/>
      <c r="I178" s="68"/>
    </row>
    <row r="179" spans="1:9">
      <c r="A179" s="75"/>
      <c r="C179" s="83"/>
      <c r="F179" s="67"/>
      <c r="G179" s="84"/>
      <c r="H179" s="84"/>
      <c r="I179" s="68"/>
    </row>
    <row r="180" spans="1:9">
      <c r="A180" s="75" t="s">
        <v>99</v>
      </c>
      <c r="C180" s="82">
        <f>$C$365</f>
        <v>0.67676999999999998</v>
      </c>
      <c r="D180" s="67">
        <f>$C$167*D176</f>
        <v>45886.848195619888</v>
      </c>
      <c r="E180" s="67">
        <f>$C$167*E176</f>
        <v>39215.587423123448</v>
      </c>
      <c r="F180" s="67"/>
      <c r="G180" s="84"/>
      <c r="H180" s="84"/>
      <c r="I180" s="68"/>
    </row>
    <row r="181" spans="1:9">
      <c r="A181" s="75" t="s">
        <v>101</v>
      </c>
      <c r="C181" s="82">
        <f>$D$365</f>
        <v>0.32323000000000002</v>
      </c>
      <c r="D181" s="67">
        <f>$C$168*D176</f>
        <v>21915.873845280108</v>
      </c>
      <c r="E181" s="67">
        <f>$C$168*E176</f>
        <v>18729.633882672388</v>
      </c>
      <c r="F181" s="67"/>
      <c r="G181" s="84"/>
      <c r="H181" s="84"/>
      <c r="I181" s="68"/>
    </row>
    <row r="182" spans="1:9">
      <c r="C182" s="83"/>
      <c r="F182" s="67"/>
      <c r="G182" s="84"/>
      <c r="H182" s="84"/>
      <c r="I182" s="68"/>
    </row>
    <row r="183" spans="1:9">
      <c r="A183" s="75" t="s">
        <v>108</v>
      </c>
      <c r="C183" s="82">
        <f>$C$375</f>
        <v>0.72184999999999999</v>
      </c>
      <c r="D183" s="67">
        <f>$C$170*D177</f>
        <v>13608.584286875346</v>
      </c>
      <c r="E183" s="67">
        <f>$C$170*E177</f>
        <v>11630.099860679586</v>
      </c>
      <c r="F183" s="67"/>
      <c r="G183" s="84"/>
      <c r="H183" s="84"/>
      <c r="I183" s="68"/>
    </row>
    <row r="184" spans="1:9">
      <c r="A184" s="75" t="s">
        <v>109</v>
      </c>
      <c r="C184" s="82">
        <f>$D$375</f>
        <v>0.27815000000000001</v>
      </c>
      <c r="D184" s="67">
        <f>$C$171*D177</f>
        <v>5243.7871017446523</v>
      </c>
      <c r="E184" s="67">
        <f>$C$171*E177</f>
        <v>4481.4189599612482</v>
      </c>
      <c r="F184" s="67"/>
      <c r="G184" s="84"/>
      <c r="H184" s="84"/>
      <c r="I184" s="68"/>
    </row>
    <row r="185" spans="1:9">
      <c r="A185" s="75" t="s">
        <v>110</v>
      </c>
      <c r="C185" s="3" t="s">
        <v>112</v>
      </c>
      <c r="D185" s="67">
        <f>D178</f>
        <v>8453.2275704799995</v>
      </c>
      <c r="E185" s="67">
        <f>E178</f>
        <v>7224.2548318966674</v>
      </c>
      <c r="F185" s="67"/>
      <c r="G185" s="84"/>
      <c r="H185" s="84"/>
      <c r="I185" s="68"/>
    </row>
    <row r="186" spans="1:9">
      <c r="A186" s="75"/>
      <c r="D186" s="67"/>
      <c r="E186" s="67"/>
      <c r="F186" s="67"/>
      <c r="G186" s="84"/>
      <c r="H186" s="84"/>
      <c r="I186" s="68"/>
    </row>
    <row r="187" spans="1:9">
      <c r="A187" s="75"/>
      <c r="D187" s="67"/>
      <c r="E187" s="67"/>
      <c r="F187" s="67"/>
      <c r="G187" s="84"/>
      <c r="H187" s="84"/>
      <c r="I187" s="68"/>
    </row>
    <row r="188" spans="1:9">
      <c r="A188" s="104" t="s">
        <v>385</v>
      </c>
      <c r="D188" s="67">
        <f>'CAP15.2 - AMA CALC'!R209</f>
        <v>0</v>
      </c>
      <c r="E188" s="67">
        <f>'CAP15.2 - AMA CALC'!S209</f>
        <v>0</v>
      </c>
      <c r="F188" s="67"/>
      <c r="G188" s="84"/>
      <c r="H188" s="84"/>
      <c r="I188" s="68"/>
    </row>
    <row r="189" spans="1:9">
      <c r="F189" s="67"/>
      <c r="G189" s="84"/>
      <c r="H189" s="84"/>
      <c r="I189" s="68"/>
    </row>
    <row r="190" spans="1:9">
      <c r="A190" s="75" t="s">
        <v>106</v>
      </c>
      <c r="C190" s="82">
        <f>$C$367</f>
        <v>0.78641000000000005</v>
      </c>
      <c r="D190" s="67">
        <f>$C$163*D188</f>
        <v>0</v>
      </c>
      <c r="E190" s="67">
        <f>$C$163*E188</f>
        <v>0</v>
      </c>
      <c r="F190" s="67"/>
      <c r="G190" s="84"/>
      <c r="H190" s="84"/>
      <c r="I190" s="68"/>
    </row>
    <row r="191" spans="1:9">
      <c r="A191" s="75" t="s">
        <v>111</v>
      </c>
      <c r="C191" s="82">
        <f>$D$367</f>
        <v>0.21359</v>
      </c>
      <c r="D191" s="67">
        <f>$C$164*D188</f>
        <v>0</v>
      </c>
      <c r="E191" s="67">
        <f>$C$164*E188</f>
        <v>0</v>
      </c>
      <c r="F191" s="67"/>
      <c r="G191" s="84"/>
      <c r="H191" s="84"/>
      <c r="I191" s="68"/>
    </row>
    <row r="192" spans="1:9">
      <c r="A192" s="75" t="s">
        <v>112</v>
      </c>
      <c r="C192" s="82">
        <v>0</v>
      </c>
      <c r="D192" s="67">
        <f>$C$165*D188</f>
        <v>0</v>
      </c>
      <c r="E192" s="67">
        <f>$C$165*E188</f>
        <v>0</v>
      </c>
      <c r="F192" s="67"/>
      <c r="G192" s="84"/>
      <c r="H192" s="84"/>
      <c r="I192" s="68"/>
    </row>
    <row r="193" spans="1:9">
      <c r="A193" s="75"/>
      <c r="C193" s="85"/>
      <c r="F193" s="67"/>
      <c r="G193" s="84"/>
      <c r="H193" s="84"/>
      <c r="I193" s="68"/>
    </row>
    <row r="194" spans="1:9">
      <c r="A194" s="75" t="s">
        <v>99</v>
      </c>
      <c r="C194" s="82">
        <f>$C$365</f>
        <v>0.67676999999999998</v>
      </c>
      <c r="D194" s="67">
        <f>$C$167*D190</f>
        <v>0</v>
      </c>
      <c r="E194" s="67">
        <f>$C$167*E190</f>
        <v>0</v>
      </c>
      <c r="F194" s="67"/>
      <c r="G194" s="84"/>
      <c r="H194" s="84"/>
      <c r="I194" s="68"/>
    </row>
    <row r="195" spans="1:9">
      <c r="A195" s="75" t="s">
        <v>101</v>
      </c>
      <c r="C195" s="82">
        <f>$D$365</f>
        <v>0.32323000000000002</v>
      </c>
      <c r="D195" s="67">
        <f>$C$168*D190</f>
        <v>0</v>
      </c>
      <c r="E195" s="67">
        <f>$C$168*E190</f>
        <v>0</v>
      </c>
      <c r="F195" s="67"/>
      <c r="G195" s="84"/>
      <c r="H195" s="84"/>
      <c r="I195" s="68"/>
    </row>
    <row r="196" spans="1:9">
      <c r="C196" s="85"/>
      <c r="F196" s="67"/>
      <c r="G196" s="84"/>
      <c r="H196" s="84"/>
      <c r="I196" s="68"/>
    </row>
    <row r="197" spans="1:9">
      <c r="A197" s="75" t="s">
        <v>108</v>
      </c>
      <c r="C197" s="82">
        <f>$C$375</f>
        <v>0.72184999999999999</v>
      </c>
      <c r="D197" s="67">
        <f>$C$170*D191</f>
        <v>0</v>
      </c>
      <c r="E197" s="67">
        <f>$C$170*E191</f>
        <v>0</v>
      </c>
      <c r="F197" s="67"/>
      <c r="G197" s="84"/>
      <c r="H197" s="84"/>
      <c r="I197" s="68"/>
    </row>
    <row r="198" spans="1:9">
      <c r="A198" s="75" t="s">
        <v>109</v>
      </c>
      <c r="C198" s="82">
        <f>$D$375</f>
        <v>0.27815000000000001</v>
      </c>
      <c r="D198" s="67">
        <f>$C$171*D191</f>
        <v>0</v>
      </c>
      <c r="E198" s="67">
        <f>$C$171*E191</f>
        <v>0</v>
      </c>
      <c r="F198" s="67"/>
      <c r="G198" s="84"/>
      <c r="H198" s="84"/>
      <c r="I198" s="68"/>
    </row>
    <row r="199" spans="1:9">
      <c r="A199" s="75" t="s">
        <v>110</v>
      </c>
      <c r="C199" s="3" t="s">
        <v>112</v>
      </c>
      <c r="D199" s="67">
        <f>D192</f>
        <v>0</v>
      </c>
      <c r="E199" s="67">
        <f>E192</f>
        <v>0</v>
      </c>
      <c r="F199" s="67"/>
      <c r="G199" s="84"/>
      <c r="H199" s="84"/>
      <c r="I199" s="68"/>
    </row>
    <row r="200" spans="1:9">
      <c r="A200" s="75"/>
      <c r="D200" s="67"/>
      <c r="E200" s="67"/>
      <c r="F200" s="67"/>
      <c r="G200" s="84"/>
      <c r="H200" s="84"/>
      <c r="I200" s="68"/>
    </row>
    <row r="201" spans="1:9">
      <c r="D201" s="67"/>
      <c r="G201" s="69"/>
    </row>
    <row r="202" spans="1:9">
      <c r="G202" s="69"/>
    </row>
    <row r="203" spans="1:9">
      <c r="A203" s="104" t="s">
        <v>114</v>
      </c>
      <c r="D203" s="67">
        <f>'CAP15.2 - AMA CALC'!R220</f>
        <v>1356.3</v>
      </c>
      <c r="E203" s="67">
        <f>'CAP15.2 - AMA CALC'!S220</f>
        <v>714.41475000000003</v>
      </c>
      <c r="F203" s="67"/>
      <c r="G203" s="69"/>
      <c r="H203" s="68"/>
      <c r="I203" s="68"/>
    </row>
    <row r="204" spans="1:9">
      <c r="G204" s="69"/>
    </row>
    <row r="205" spans="1:9">
      <c r="A205" s="75" t="s">
        <v>111</v>
      </c>
      <c r="C205" s="109">
        <v>0.80700000000000005</v>
      </c>
      <c r="D205" s="200">
        <f>D203*C205</f>
        <v>1094.5341000000001</v>
      </c>
      <c r="E205" s="200">
        <f>E203*C205</f>
        <v>576.53270325000005</v>
      </c>
      <c r="G205" s="69"/>
    </row>
    <row r="206" spans="1:9">
      <c r="A206" s="75" t="s">
        <v>112</v>
      </c>
      <c r="C206" s="109">
        <v>0.193</v>
      </c>
      <c r="D206" s="200">
        <f>D203*C206</f>
        <v>261.76589999999999</v>
      </c>
      <c r="E206" s="200">
        <f>E203*C206</f>
        <v>137.88204675</v>
      </c>
      <c r="G206" s="69"/>
    </row>
    <row r="207" spans="1:9">
      <c r="G207" s="69"/>
    </row>
    <row r="208" spans="1:9">
      <c r="A208" s="75" t="s">
        <v>108</v>
      </c>
      <c r="C208" s="113">
        <v>0.70269999999999999</v>
      </c>
      <c r="D208" s="67">
        <f>$C$208*D205</f>
        <v>769.12911207000002</v>
      </c>
      <c r="E208" s="67">
        <f>$C$208*E205</f>
        <v>405.12953057377501</v>
      </c>
      <c r="F208" s="67"/>
      <c r="G208" s="69"/>
      <c r="H208" s="68"/>
      <c r="I208" s="68"/>
    </row>
    <row r="209" spans="1:9">
      <c r="A209" s="75" t="s">
        <v>109</v>
      </c>
      <c r="C209" s="113">
        <v>0.29730000000000001</v>
      </c>
      <c r="D209" s="67">
        <f>$C$209*D205</f>
        <v>325.40498793000006</v>
      </c>
      <c r="E209" s="67">
        <f>$C$209*E205</f>
        <v>171.40317267622501</v>
      </c>
      <c r="F209" s="67"/>
      <c r="G209" s="69"/>
      <c r="H209" s="68"/>
      <c r="I209" s="68"/>
    </row>
    <row r="210" spans="1:9">
      <c r="A210" s="75" t="s">
        <v>110</v>
      </c>
      <c r="C210" s="113"/>
      <c r="D210" s="67">
        <f>D206</f>
        <v>261.76589999999999</v>
      </c>
      <c r="E210" s="67">
        <f>E206</f>
        <v>137.88204675</v>
      </c>
      <c r="F210" s="67"/>
      <c r="G210" s="69"/>
    </row>
    <row r="211" spans="1:9">
      <c r="C211" s="113"/>
      <c r="G211" s="69"/>
    </row>
    <row r="212" spans="1:9">
      <c r="A212" s="104" t="s">
        <v>301</v>
      </c>
      <c r="D212" s="89">
        <f>'CAP15.2 - AMA CALC'!R227</f>
        <v>2065.5030000000002</v>
      </c>
      <c r="E212" s="89">
        <f>'CAP15.2 - AMA CALC'!S227</f>
        <v>1059.1086249999998</v>
      </c>
      <c r="G212" s="69"/>
    </row>
    <row r="213" spans="1:9">
      <c r="G213" s="69"/>
    </row>
    <row r="214" spans="1:9">
      <c r="A214" s="75" t="s">
        <v>111</v>
      </c>
      <c r="C214" s="109">
        <v>0.80700000000000005</v>
      </c>
      <c r="D214" s="200">
        <f>D212*C214</f>
        <v>1666.8609210000002</v>
      </c>
      <c r="E214" s="200">
        <f>E212*C214</f>
        <v>854.70066037499998</v>
      </c>
      <c r="G214" s="69"/>
    </row>
    <row r="215" spans="1:9">
      <c r="A215" s="75" t="s">
        <v>112</v>
      </c>
      <c r="C215" s="109">
        <v>0.193</v>
      </c>
      <c r="D215" s="200">
        <f>D212*C215</f>
        <v>398.64207900000002</v>
      </c>
      <c r="E215" s="200">
        <f>E212*C215</f>
        <v>204.40796462499998</v>
      </c>
      <c r="G215" s="69"/>
    </row>
    <row r="216" spans="1:9">
      <c r="A216" s="75"/>
      <c r="C216" s="109"/>
      <c r="D216" s="200"/>
      <c r="E216" s="200"/>
      <c r="G216" s="69"/>
    </row>
    <row r="217" spans="1:9">
      <c r="A217" s="75" t="s">
        <v>108</v>
      </c>
      <c r="C217" s="113">
        <v>0.70269999999999999</v>
      </c>
      <c r="D217" s="67">
        <f>$C$217*D214</f>
        <v>1171.3031691867002</v>
      </c>
      <c r="E217" s="67">
        <f>$C$217*E214</f>
        <v>600.5981540455125</v>
      </c>
      <c r="G217" s="69"/>
    </row>
    <row r="218" spans="1:9">
      <c r="A218" s="75" t="s">
        <v>109</v>
      </c>
      <c r="C218" s="113">
        <v>0.29730000000000001</v>
      </c>
      <c r="D218" s="67">
        <f>$C$218*D214</f>
        <v>495.55775181330006</v>
      </c>
      <c r="E218" s="67">
        <f>$C$218*E214</f>
        <v>254.10250632948751</v>
      </c>
      <c r="G218" s="69"/>
    </row>
    <row r="219" spans="1:9">
      <c r="A219" s="75" t="s">
        <v>110</v>
      </c>
      <c r="C219" s="113"/>
      <c r="D219" s="67">
        <f>D215</f>
        <v>398.64207900000002</v>
      </c>
      <c r="E219" s="67">
        <f>E215</f>
        <v>204.40796462499998</v>
      </c>
      <c r="G219" s="69"/>
    </row>
    <row r="220" spans="1:9">
      <c r="C220" s="113"/>
      <c r="G220" s="69"/>
    </row>
    <row r="221" spans="1:9">
      <c r="C221" s="113"/>
      <c r="G221" s="69"/>
    </row>
    <row r="222" spans="1:9">
      <c r="A222" s="105" t="s">
        <v>117</v>
      </c>
      <c r="C222" s="110"/>
      <c r="D222" s="67">
        <f>'CAP15.2 - AMA CALC'!R234</f>
        <v>3504.9110000000001</v>
      </c>
      <c r="E222" s="67">
        <f>'CAP15.2 - AMA CALC'!S234</f>
        <v>661.46712500000001</v>
      </c>
      <c r="F222" s="67"/>
      <c r="G222" s="69"/>
    </row>
    <row r="223" spans="1:9">
      <c r="C223" s="110"/>
      <c r="G223" s="69"/>
    </row>
    <row r="224" spans="1:9">
      <c r="C224" s="110"/>
      <c r="G224" s="69"/>
    </row>
    <row r="225" spans="1:9">
      <c r="A225" s="105" t="s">
        <v>118</v>
      </c>
      <c r="C225" s="110"/>
      <c r="D225" s="67">
        <f>'CAP15.2 - AMA CALC'!R250</f>
        <v>999.99800000000005</v>
      </c>
      <c r="E225" s="67">
        <f>'CAP15.2 - AMA CALC'!S250</f>
        <v>208.33291666666665</v>
      </c>
      <c r="F225" s="67"/>
      <c r="G225" s="69"/>
    </row>
    <row r="226" spans="1:9">
      <c r="A226" s="104"/>
      <c r="C226" s="110"/>
      <c r="D226" s="67"/>
      <c r="E226" s="67"/>
      <c r="F226" s="67"/>
      <c r="G226" s="68"/>
    </row>
    <row r="227" spans="1:9">
      <c r="A227" s="104"/>
      <c r="C227" s="110"/>
      <c r="D227" s="67"/>
      <c r="E227" s="67"/>
      <c r="F227" s="67"/>
      <c r="G227" s="68"/>
      <c r="I227" s="75"/>
    </row>
    <row r="228" spans="1:9">
      <c r="A228" s="105" t="s">
        <v>120</v>
      </c>
      <c r="C228" s="110"/>
      <c r="D228" s="67">
        <f>'CAP15.2 - AMA CALC'!R242</f>
        <v>5600.3919999999998</v>
      </c>
      <c r="E228" s="67">
        <f>'CAP15.2 - AMA CALC'!S242</f>
        <v>738.31558333333317</v>
      </c>
      <c r="F228" s="67"/>
      <c r="G228" s="69"/>
      <c r="H228" s="68"/>
      <c r="I228" s="68"/>
    </row>
    <row r="229" spans="1:9">
      <c r="A229" s="56"/>
      <c r="C229" s="110"/>
    </row>
    <row r="230" spans="1:9">
      <c r="C230" s="110"/>
    </row>
    <row r="231" spans="1:9">
      <c r="A231" s="105" t="s">
        <v>161</v>
      </c>
      <c r="C231" s="110"/>
      <c r="D231" s="89">
        <f>'CAP15.2 - AMA CALC'!R266</f>
        <v>1000</v>
      </c>
      <c r="E231" s="89">
        <f>'CAP15.2 - AMA CALC'!S266</f>
        <v>473.40708333333328</v>
      </c>
      <c r="F231" s="67"/>
      <c r="G231" s="79"/>
      <c r="H231" s="68"/>
      <c r="I231" s="68"/>
    </row>
    <row r="232" spans="1:9">
      <c r="C232" s="110"/>
      <c r="G232" s="69"/>
    </row>
    <row r="233" spans="1:9">
      <c r="A233" s="75" t="s">
        <v>108</v>
      </c>
      <c r="C233" s="113">
        <v>0.439</v>
      </c>
      <c r="D233" s="67">
        <f>$C$233*D231</f>
        <v>439</v>
      </c>
      <c r="E233" s="67">
        <f>$C$233*E231</f>
        <v>207.82570958333332</v>
      </c>
      <c r="F233" s="67"/>
      <c r="G233" s="69"/>
      <c r="H233" s="68"/>
      <c r="I233" s="68"/>
    </row>
    <row r="234" spans="1:9">
      <c r="A234" s="75" t="s">
        <v>109</v>
      </c>
      <c r="C234" s="113">
        <v>6.7400000000000002E-2</v>
      </c>
      <c r="D234" s="67">
        <f>$C$234*D231</f>
        <v>67.400000000000006</v>
      </c>
      <c r="E234" s="67">
        <f>$C$234*E231</f>
        <v>31.907637416666663</v>
      </c>
      <c r="F234" s="67"/>
      <c r="G234" s="69"/>
      <c r="H234" s="68"/>
      <c r="I234" s="68"/>
    </row>
    <row r="235" spans="1:9">
      <c r="A235" s="75" t="s">
        <v>110</v>
      </c>
      <c r="C235" s="113">
        <v>0.49359999999999998</v>
      </c>
      <c r="D235" s="67">
        <f>$C$235*D231</f>
        <v>493.59999999999997</v>
      </c>
      <c r="E235" s="67">
        <f>$C$235*E231</f>
        <v>233.6737363333333</v>
      </c>
      <c r="F235" s="67"/>
      <c r="G235" s="69"/>
      <c r="H235" s="68"/>
      <c r="I235" s="68"/>
    </row>
    <row r="236" spans="1:9">
      <c r="A236" s="75"/>
      <c r="C236" s="114">
        <f>SUM(C233:C235)</f>
        <v>1</v>
      </c>
      <c r="D236" s="67"/>
      <c r="E236" s="67"/>
      <c r="F236" s="67"/>
      <c r="G236" s="69"/>
      <c r="H236" s="68"/>
      <c r="I236" s="68"/>
    </row>
    <row r="237" spans="1:9">
      <c r="A237" s="90" t="str">
        <f>'CAP15.2 - AMA CALC'!A274</f>
        <v>Gas AA Distribution: ER 3001</v>
      </c>
      <c r="C237" s="113"/>
      <c r="D237" s="89">
        <f>'CAP15.2 - AMA CALC'!R274</f>
        <v>1000</v>
      </c>
      <c r="E237" s="89">
        <f>'CAP15.2 - AMA CALC'!S274</f>
        <v>445.83333333333331</v>
      </c>
      <c r="F237" s="67"/>
      <c r="G237" s="69"/>
      <c r="H237" s="68"/>
      <c r="I237" s="68"/>
    </row>
    <row r="238" spans="1:9">
      <c r="A238" s="75"/>
      <c r="C238" s="113"/>
      <c r="D238" s="67"/>
      <c r="E238" s="67"/>
      <c r="F238" s="67"/>
      <c r="G238" s="69"/>
      <c r="H238" s="68"/>
      <c r="I238" s="68"/>
    </row>
    <row r="239" spans="1:9">
      <c r="A239" s="75" t="s">
        <v>108</v>
      </c>
      <c r="C239" s="113">
        <v>0.13550000000000001</v>
      </c>
      <c r="D239" s="67">
        <f>$C$239*D237</f>
        <v>135.5</v>
      </c>
      <c r="E239" s="67">
        <f>$C$239*E237</f>
        <v>60.41041666666667</v>
      </c>
      <c r="F239" s="67"/>
      <c r="G239" s="69"/>
      <c r="H239" s="68"/>
      <c r="I239" s="68"/>
    </row>
    <row r="240" spans="1:9">
      <c r="A240" s="75" t="s">
        <v>109</v>
      </c>
      <c r="C240" s="113">
        <v>1.1999999999999999E-3</v>
      </c>
      <c r="D240" s="67">
        <f>$C$240*D237</f>
        <v>1.2</v>
      </c>
      <c r="E240" s="67">
        <f>$C$240*E237</f>
        <v>0.53499999999999992</v>
      </c>
      <c r="F240" s="67"/>
      <c r="G240" s="69"/>
      <c r="H240" s="68"/>
      <c r="I240" s="68"/>
    </row>
    <row r="241" spans="1:9">
      <c r="A241" s="75" t="s">
        <v>110</v>
      </c>
      <c r="C241" s="113">
        <v>0.86329999999999996</v>
      </c>
      <c r="D241" s="67">
        <f>$C$241*D237</f>
        <v>863.3</v>
      </c>
      <c r="E241" s="67">
        <f>$C$241*E237</f>
        <v>384.88791666666663</v>
      </c>
      <c r="F241" s="67"/>
      <c r="G241" s="69"/>
      <c r="H241" s="68"/>
      <c r="I241" s="68"/>
    </row>
    <row r="242" spans="1:9">
      <c r="A242" s="75"/>
      <c r="C242" s="114">
        <f>SUM(C239:C241)</f>
        <v>1</v>
      </c>
      <c r="D242" s="67"/>
      <c r="E242" s="67"/>
      <c r="F242" s="67"/>
      <c r="G242" s="69"/>
      <c r="H242" s="68"/>
      <c r="I242" s="68"/>
    </row>
    <row r="243" spans="1:9">
      <c r="A243" s="90" t="str">
        <f>'CAP15.2 - AMA CALC'!A282</f>
        <v>Gas AA Distribution: ER 3002</v>
      </c>
      <c r="C243" s="113"/>
      <c r="D243" s="89">
        <f>'CAP15.2 - AMA CALC'!R282</f>
        <v>800.00099999999998</v>
      </c>
      <c r="E243" s="89">
        <f>'CAP15.2 - AMA CALC'!S282</f>
        <v>369.19004166666673</v>
      </c>
      <c r="F243" s="67"/>
      <c r="G243" s="69"/>
      <c r="H243" s="68"/>
      <c r="I243" s="68"/>
    </row>
    <row r="244" spans="1:9">
      <c r="A244" s="75"/>
      <c r="C244" s="113"/>
      <c r="D244" s="67"/>
      <c r="E244" s="67"/>
      <c r="F244" s="67"/>
      <c r="G244" s="69"/>
      <c r="H244" s="68"/>
      <c r="I244" s="68"/>
    </row>
    <row r="245" spans="1:9">
      <c r="A245" s="75" t="s">
        <v>108</v>
      </c>
      <c r="C245" s="113">
        <v>0.37559999999999999</v>
      </c>
      <c r="D245" s="67">
        <f>$C$245*D243</f>
        <v>300.4803756</v>
      </c>
      <c r="E245" s="67">
        <f>$C$245*E243</f>
        <v>138.66777965000003</v>
      </c>
      <c r="F245" s="67"/>
      <c r="G245" s="69"/>
      <c r="H245" s="68"/>
      <c r="I245" s="68"/>
    </row>
    <row r="246" spans="1:9">
      <c r="A246" s="75" t="s">
        <v>109</v>
      </c>
      <c r="C246" s="113">
        <v>0.26929999999999998</v>
      </c>
      <c r="D246" s="67">
        <f>$C$246*D243</f>
        <v>215.44026929999998</v>
      </c>
      <c r="E246" s="67">
        <f>$C$246*E243</f>
        <v>99.42287822083334</v>
      </c>
      <c r="F246" s="67"/>
      <c r="G246" s="69"/>
      <c r="H246" s="68"/>
      <c r="I246" s="68"/>
    </row>
    <row r="247" spans="1:9">
      <c r="A247" s="75" t="s">
        <v>110</v>
      </c>
      <c r="C247" s="113">
        <v>0.35520000000000002</v>
      </c>
      <c r="D247" s="67">
        <f>$C$247*D243</f>
        <v>284.16035520000003</v>
      </c>
      <c r="E247" s="67">
        <f>$C$247*E243</f>
        <v>131.13630280000004</v>
      </c>
      <c r="F247" s="67"/>
      <c r="G247" s="69"/>
      <c r="H247" s="68"/>
      <c r="I247" s="68"/>
    </row>
    <row r="248" spans="1:9">
      <c r="A248" s="75"/>
      <c r="C248" s="114">
        <f>SUM(C245:C247)</f>
        <v>1.0001</v>
      </c>
      <c r="D248" s="67"/>
      <c r="E248" s="67"/>
      <c r="F248" s="67"/>
      <c r="G248" s="69"/>
      <c r="H248" s="68"/>
      <c r="I248" s="68"/>
    </row>
    <row r="249" spans="1:9">
      <c r="A249" s="90" t="str">
        <f>'CAP15.2 - AMA CALC'!A290</f>
        <v>Gas AA Distribution: ER 3003</v>
      </c>
      <c r="C249" s="113"/>
      <c r="D249" s="89">
        <f>'CAP15.2 - AMA CALC'!R290</f>
        <v>4500</v>
      </c>
      <c r="E249" s="89">
        <f>'CAP15.2 - AMA CALC'!S290</f>
        <v>2015.3965833333332</v>
      </c>
      <c r="F249" s="67"/>
      <c r="G249" s="69"/>
      <c r="H249" s="68"/>
      <c r="I249" s="68"/>
    </row>
    <row r="250" spans="1:9">
      <c r="A250" s="75"/>
      <c r="C250" s="113"/>
      <c r="D250" s="67"/>
      <c r="E250" s="67"/>
      <c r="F250" s="67"/>
      <c r="G250" s="69"/>
      <c r="H250" s="68"/>
      <c r="I250" s="68"/>
    </row>
    <row r="251" spans="1:9">
      <c r="A251" s="75" t="s">
        <v>108</v>
      </c>
      <c r="C251" s="113">
        <v>0.2268</v>
      </c>
      <c r="D251" s="67">
        <f>$C$251*D249</f>
        <v>1020.6</v>
      </c>
      <c r="E251" s="67">
        <f>$C$251*E249</f>
        <v>457.09194509999998</v>
      </c>
      <c r="F251" s="67"/>
      <c r="G251" s="69"/>
      <c r="H251" s="68"/>
      <c r="I251" s="68"/>
    </row>
    <row r="252" spans="1:9">
      <c r="A252" s="75" t="s">
        <v>109</v>
      </c>
      <c r="C252" s="113">
        <v>0.1835</v>
      </c>
      <c r="D252" s="67">
        <f>$C$252*D249</f>
        <v>825.75</v>
      </c>
      <c r="E252" s="67">
        <f>$C$252*E249</f>
        <v>369.82527304166661</v>
      </c>
      <c r="F252" s="67"/>
      <c r="G252" s="69"/>
      <c r="H252" s="68"/>
      <c r="I252" s="68"/>
    </row>
    <row r="253" spans="1:9">
      <c r="A253" s="75" t="s">
        <v>110</v>
      </c>
      <c r="C253" s="113">
        <v>0.5897</v>
      </c>
      <c r="D253" s="67">
        <f>$C$253*D249</f>
        <v>2653.65</v>
      </c>
      <c r="E253" s="67">
        <f>$C$253*E249</f>
        <v>1188.4793651916666</v>
      </c>
      <c r="F253" s="67"/>
      <c r="G253" s="69"/>
      <c r="H253" s="68"/>
      <c r="I253" s="68"/>
    </row>
    <row r="254" spans="1:9">
      <c r="A254" s="75"/>
      <c r="C254" s="114">
        <f>SUM(C251:C253)</f>
        <v>1</v>
      </c>
      <c r="D254" s="67"/>
      <c r="E254" s="67"/>
      <c r="F254" s="67"/>
      <c r="G254" s="69"/>
      <c r="H254" s="68"/>
      <c r="I254" s="68"/>
    </row>
    <row r="255" spans="1:9">
      <c r="A255" s="90" t="str">
        <f>'CAP15.2 - AMA CALC'!A298</f>
        <v>Gas AA Distribution: ER 3004</v>
      </c>
      <c r="C255" s="113"/>
      <c r="D255" s="89">
        <f>'CAP15.2 - AMA CALC'!R298</f>
        <v>950.00300000000004</v>
      </c>
      <c r="E255" s="89">
        <f>'CAP15.2 - AMA CALC'!S298</f>
        <v>421.25845833333329</v>
      </c>
      <c r="F255" s="67"/>
      <c r="G255" s="69"/>
      <c r="H255" s="68"/>
      <c r="I255" s="68"/>
    </row>
    <row r="256" spans="1:9">
      <c r="A256" s="75"/>
      <c r="C256" s="113"/>
      <c r="D256" s="67"/>
      <c r="E256" s="67"/>
      <c r="F256" s="67"/>
      <c r="G256" s="69"/>
      <c r="H256" s="68"/>
      <c r="I256" s="68"/>
    </row>
    <row r="257" spans="1:9">
      <c r="A257" s="75" t="s">
        <v>108</v>
      </c>
      <c r="C257" s="113">
        <v>0.68400000000000005</v>
      </c>
      <c r="D257" s="67">
        <f>$C$257*D255</f>
        <v>649.80205200000012</v>
      </c>
      <c r="E257" s="67">
        <f>$C$257*E255</f>
        <v>288.14078549999999</v>
      </c>
      <c r="F257" s="67"/>
      <c r="G257" s="69"/>
      <c r="H257" s="68"/>
      <c r="I257" s="68"/>
    </row>
    <row r="258" spans="1:9">
      <c r="A258" s="75" t="s">
        <v>109</v>
      </c>
      <c r="C258" s="113">
        <v>0.18010000000000001</v>
      </c>
      <c r="D258" s="67">
        <f>$C$258*D255</f>
        <v>171.09554030000001</v>
      </c>
      <c r="E258" s="67">
        <f>$C$258*E255</f>
        <v>75.868648345833336</v>
      </c>
      <c r="F258" s="67"/>
      <c r="G258" s="69"/>
      <c r="H258" s="68"/>
      <c r="I258" s="68"/>
    </row>
    <row r="259" spans="1:9">
      <c r="A259" s="75" t="s">
        <v>110</v>
      </c>
      <c r="C259" s="113">
        <v>0.13589999999999999</v>
      </c>
      <c r="D259" s="67">
        <f>$C$259*D255</f>
        <v>129.1054077</v>
      </c>
      <c r="E259" s="67">
        <f>$C$259*E255</f>
        <v>57.249024487499995</v>
      </c>
      <c r="F259" s="67"/>
      <c r="G259" s="69"/>
      <c r="H259" s="68"/>
      <c r="I259" s="68"/>
    </row>
    <row r="260" spans="1:9">
      <c r="A260" s="75"/>
      <c r="C260" s="114">
        <f>SUM(C257:C259)</f>
        <v>1</v>
      </c>
      <c r="D260" s="67"/>
      <c r="E260" s="67"/>
      <c r="F260" s="67"/>
      <c r="G260" s="69"/>
      <c r="H260" s="68"/>
      <c r="I260" s="68"/>
    </row>
    <row r="261" spans="1:9">
      <c r="A261" s="90" t="str">
        <f>'CAP15.2 - AMA CALC'!A306</f>
        <v>Gas AA Distribution: ER 3005</v>
      </c>
      <c r="C261" s="113"/>
      <c r="D261" s="89">
        <f>'CAP15.2 - AMA CALC'!R306</f>
        <v>5999.9989999999998</v>
      </c>
      <c r="E261" s="89">
        <f>'CAP15.2 - AMA CALC'!S306</f>
        <v>2787.7787916666671</v>
      </c>
      <c r="F261" s="67"/>
      <c r="G261" s="69"/>
      <c r="H261" s="68"/>
      <c r="I261" s="68"/>
    </row>
    <row r="262" spans="1:9">
      <c r="A262" s="75"/>
      <c r="C262" s="113"/>
      <c r="D262" s="67"/>
      <c r="E262" s="67"/>
      <c r="F262" s="67"/>
      <c r="G262" s="69"/>
      <c r="H262" s="68"/>
      <c r="I262" s="68"/>
    </row>
    <row r="263" spans="1:9">
      <c r="A263" s="75" t="s">
        <v>108</v>
      </c>
      <c r="C263" s="113">
        <v>0.3624</v>
      </c>
      <c r="D263" s="67">
        <f>$C$263*D261</f>
        <v>2174.3996376</v>
      </c>
      <c r="E263" s="67">
        <f>$C$263*E261</f>
        <v>1010.2910341000002</v>
      </c>
      <c r="F263" s="67"/>
      <c r="G263" s="69"/>
      <c r="H263" s="68"/>
      <c r="I263" s="68"/>
    </row>
    <row r="264" spans="1:9">
      <c r="A264" s="75" t="s">
        <v>109</v>
      </c>
      <c r="C264" s="113">
        <v>0.2349</v>
      </c>
      <c r="D264" s="67">
        <f>$C$264*D261</f>
        <v>1409.3997651</v>
      </c>
      <c r="E264" s="67">
        <f>$C$264*E261</f>
        <v>654.84923816250011</v>
      </c>
      <c r="F264" s="67"/>
      <c r="G264" s="69"/>
      <c r="H264" s="68"/>
      <c r="I264" s="68"/>
    </row>
    <row r="265" spans="1:9">
      <c r="A265" s="75" t="s">
        <v>110</v>
      </c>
      <c r="C265" s="113">
        <v>0.4027</v>
      </c>
      <c r="D265" s="67">
        <f>$C$265*D261</f>
        <v>2416.1995972999998</v>
      </c>
      <c r="E265" s="67">
        <f>$C$265*E261</f>
        <v>1122.6385194041668</v>
      </c>
      <c r="F265" s="67"/>
      <c r="G265" s="69"/>
      <c r="H265" s="68"/>
      <c r="I265" s="68"/>
    </row>
    <row r="266" spans="1:9">
      <c r="A266" s="75"/>
      <c r="C266" s="114">
        <f>SUM(C263:C265)</f>
        <v>1</v>
      </c>
      <c r="D266" s="67"/>
      <c r="E266" s="67"/>
      <c r="F266" s="67"/>
      <c r="G266" s="69"/>
      <c r="H266" s="68"/>
      <c r="I266" s="68"/>
    </row>
    <row r="267" spans="1:9">
      <c r="A267" s="90" t="str">
        <f>'CAP15.2 - AMA CALC'!A314</f>
        <v>Gas AA Distribution: ER 3006</v>
      </c>
      <c r="C267" s="113"/>
      <c r="D267" s="89">
        <f>'CAP15.2 - AMA CALC'!R314</f>
        <v>900</v>
      </c>
      <c r="E267" s="89">
        <f>'CAP15.2 - AMA CALC'!S314</f>
        <v>453.37349999999992</v>
      </c>
      <c r="F267" s="67"/>
      <c r="G267" s="69"/>
      <c r="H267" s="68"/>
      <c r="I267" s="68"/>
    </row>
    <row r="268" spans="1:9">
      <c r="A268" s="75"/>
      <c r="C268" s="113"/>
      <c r="D268" s="67"/>
      <c r="E268" s="67"/>
      <c r="F268" s="67"/>
      <c r="G268" s="69"/>
      <c r="H268" s="68"/>
      <c r="I268" s="68"/>
    </row>
    <row r="269" spans="1:9">
      <c r="A269" s="75" t="s">
        <v>108</v>
      </c>
      <c r="C269" s="113">
        <v>0.21049999999999999</v>
      </c>
      <c r="D269" s="67">
        <f>$C$269*D267</f>
        <v>189.45</v>
      </c>
      <c r="E269" s="67">
        <f>$C$269*E267</f>
        <v>95.435121749999979</v>
      </c>
      <c r="F269" s="67"/>
      <c r="G269" s="69"/>
      <c r="H269" s="68"/>
      <c r="I269" s="68"/>
    </row>
    <row r="270" spans="1:9">
      <c r="A270" s="75" t="s">
        <v>109</v>
      </c>
      <c r="C270" s="113">
        <v>5.0000000000000001E-4</v>
      </c>
      <c r="D270" s="67">
        <f>$C$270*D267</f>
        <v>0.45</v>
      </c>
      <c r="E270" s="67">
        <f>$C$270*E267</f>
        <v>0.22668674999999996</v>
      </c>
      <c r="F270" s="67"/>
      <c r="G270" s="69"/>
      <c r="H270" s="68"/>
      <c r="I270" s="68"/>
    </row>
    <row r="271" spans="1:9">
      <c r="A271" s="75" t="s">
        <v>110</v>
      </c>
      <c r="C271" s="113">
        <v>0.78910000000000002</v>
      </c>
      <c r="D271" s="67">
        <f>$C$271*D267</f>
        <v>710.19</v>
      </c>
      <c r="E271" s="67">
        <f>$C$271*E267</f>
        <v>357.75702884999993</v>
      </c>
      <c r="F271" s="67"/>
      <c r="G271" s="69"/>
      <c r="H271" s="68"/>
      <c r="I271" s="68"/>
    </row>
    <row r="272" spans="1:9">
      <c r="A272" s="75"/>
      <c r="C272" s="114">
        <f>SUM(C269:C271)</f>
        <v>1.0001</v>
      </c>
      <c r="D272" s="67"/>
      <c r="E272" s="67"/>
      <c r="F272" s="67"/>
      <c r="G272" s="69"/>
      <c r="H272" s="68"/>
      <c r="I272" s="68"/>
    </row>
    <row r="273" spans="1:9">
      <c r="A273" s="75"/>
      <c r="C273" s="113"/>
      <c r="D273" s="67"/>
      <c r="E273" s="67"/>
      <c r="F273" s="67"/>
      <c r="G273" s="69"/>
      <c r="H273" s="68"/>
      <c r="I273" s="68"/>
    </row>
    <row r="274" spans="1:9">
      <c r="A274" s="90" t="str">
        <f>'CAP15.2 - AMA CALC'!A322</f>
        <v>Gas AA Distribution: ER 3007</v>
      </c>
      <c r="C274" s="113"/>
      <c r="D274" s="89">
        <f>'CAP15.2 - AMA CALC'!R322</f>
        <v>3450</v>
      </c>
      <c r="E274" s="89">
        <f>'CAP15.2 - AMA CALC'!S322</f>
        <v>1593.0959999999998</v>
      </c>
      <c r="F274" s="67"/>
      <c r="G274" s="69"/>
      <c r="H274" s="68"/>
      <c r="I274" s="68"/>
    </row>
    <row r="275" spans="1:9">
      <c r="A275" s="75"/>
      <c r="C275" s="113"/>
      <c r="D275" s="67"/>
      <c r="E275" s="67"/>
      <c r="F275" s="67"/>
      <c r="G275" s="69"/>
      <c r="H275" s="68"/>
      <c r="I275" s="68"/>
    </row>
    <row r="276" spans="1:9">
      <c r="A276" s="75" t="s">
        <v>108</v>
      </c>
      <c r="C276" s="113">
        <v>0.76100000000000001</v>
      </c>
      <c r="D276" s="67">
        <f>$C276*$D$274</f>
        <v>2625.45</v>
      </c>
      <c r="E276" s="67">
        <f>$C276*$E$274</f>
        <v>1212.3460559999999</v>
      </c>
      <c r="F276" s="67"/>
      <c r="G276" s="109"/>
      <c r="H276" s="67"/>
      <c r="I276" s="68"/>
    </row>
    <row r="277" spans="1:9">
      <c r="A277" s="75" t="s">
        <v>109</v>
      </c>
      <c r="C277" s="113">
        <v>4.02E-2</v>
      </c>
      <c r="D277" s="67">
        <f>$C277*$D$274</f>
        <v>138.69</v>
      </c>
      <c r="E277" s="67">
        <f>$C277*$E$274</f>
        <v>64.042459199999996</v>
      </c>
      <c r="F277" s="67"/>
      <c r="G277" s="69"/>
      <c r="H277" s="68"/>
      <c r="I277" s="68"/>
    </row>
    <row r="278" spans="1:9">
      <c r="A278" s="75" t="s">
        <v>110</v>
      </c>
      <c r="C278" s="113">
        <v>0.1988</v>
      </c>
      <c r="D278" s="67">
        <f>$C278*$D$274</f>
        <v>685.86</v>
      </c>
      <c r="E278" s="67">
        <f>$C278*$E$274</f>
        <v>316.70748479999997</v>
      </c>
      <c r="F278" s="67"/>
      <c r="G278" s="69"/>
      <c r="H278" s="68"/>
      <c r="I278" s="68"/>
    </row>
    <row r="279" spans="1:9">
      <c r="A279" s="75"/>
      <c r="C279" s="114">
        <f>SUM(C276:C278)</f>
        <v>1</v>
      </c>
      <c r="D279" s="67"/>
      <c r="E279" s="67"/>
      <c r="F279" s="67"/>
      <c r="G279" s="69"/>
      <c r="H279" s="68"/>
      <c r="I279" s="68"/>
    </row>
    <row r="280" spans="1:9">
      <c r="A280" s="75"/>
      <c r="C280" s="113"/>
      <c r="D280" s="67"/>
      <c r="E280" s="67"/>
      <c r="F280" s="67"/>
      <c r="G280" s="69"/>
      <c r="H280" s="68"/>
      <c r="I280" s="68"/>
    </row>
    <row r="281" spans="1:9">
      <c r="A281" s="90" t="str">
        <f>'CAP15.2 - AMA CALC'!A330</f>
        <v>Gas AA Distribution: ER 3008</v>
      </c>
      <c r="C281" s="113"/>
      <c r="D281" s="89">
        <f>'CAP15.2 - AMA CALC'!R330</f>
        <v>16817.429</v>
      </c>
      <c r="E281" s="89">
        <f>'CAP15.2 - AMA CALC'!S330</f>
        <v>7448.3770416666666</v>
      </c>
      <c r="F281" s="67"/>
      <c r="G281" s="69"/>
      <c r="H281" s="68"/>
      <c r="I281" s="68"/>
    </row>
    <row r="282" spans="1:9">
      <c r="A282" s="75"/>
      <c r="C282" s="113"/>
      <c r="D282" s="67"/>
      <c r="E282" s="67"/>
      <c r="F282" s="67"/>
      <c r="G282" s="109"/>
      <c r="H282" s="68"/>
      <c r="I282" s="68"/>
    </row>
    <row r="283" spans="1:9">
      <c r="A283" s="75" t="s">
        <v>108</v>
      </c>
      <c r="C283" s="153">
        <v>0.48</v>
      </c>
      <c r="D283" s="67">
        <f>C283*$D$281</f>
        <v>8072.3659200000002</v>
      </c>
      <c r="E283" s="67">
        <f>C283*$E$281</f>
        <v>3575.2209800000001</v>
      </c>
      <c r="F283" s="67" t="s">
        <v>224</v>
      </c>
      <c r="G283" s="109"/>
      <c r="H283" s="68"/>
      <c r="I283" s="68"/>
    </row>
    <row r="284" spans="1:9">
      <c r="A284" s="75" t="s">
        <v>109</v>
      </c>
      <c r="C284" s="153">
        <v>0.18</v>
      </c>
      <c r="D284" s="67">
        <f>C284*$D$281</f>
        <v>3027.1372200000001</v>
      </c>
      <c r="E284" s="67">
        <f t="shared" ref="E284:E285" si="2">C284*$E$281</f>
        <v>1340.7078675</v>
      </c>
      <c r="F284" s="67" t="s">
        <v>224</v>
      </c>
      <c r="G284" s="109"/>
      <c r="H284" s="68"/>
      <c r="I284" s="68"/>
    </row>
    <row r="285" spans="1:9">
      <c r="A285" s="75" t="s">
        <v>110</v>
      </c>
      <c r="C285" s="153">
        <v>0.34</v>
      </c>
      <c r="D285" s="67">
        <f>C285*$D$281</f>
        <v>5717.9258600000003</v>
      </c>
      <c r="E285" s="67">
        <f t="shared" si="2"/>
        <v>2532.4481941666668</v>
      </c>
      <c r="F285" s="67" t="s">
        <v>224</v>
      </c>
      <c r="G285" s="109"/>
      <c r="H285" s="68"/>
      <c r="I285" s="68"/>
    </row>
    <row r="286" spans="1:9">
      <c r="A286" s="75"/>
      <c r="C286" s="114">
        <f>SUM(C283:C285)</f>
        <v>1</v>
      </c>
      <c r="D286" s="67"/>
      <c r="E286" s="67"/>
      <c r="G286" s="109"/>
    </row>
    <row r="287" spans="1:9">
      <c r="A287" s="75"/>
      <c r="C287" s="114"/>
      <c r="D287" s="67"/>
      <c r="E287" s="67"/>
      <c r="G287" s="109"/>
    </row>
    <row r="288" spans="1:9">
      <c r="A288" s="90" t="str">
        <f>'CAP15.2 - AMA CALC'!A337</f>
        <v>Gas AA Distribution: ER 3055</v>
      </c>
      <c r="C288" s="113"/>
      <c r="D288" s="89">
        <f>'CAP15.2 - AMA CALC'!R337</f>
        <v>1030</v>
      </c>
      <c r="E288" s="89">
        <f>'CAP15.2 - AMA CALC'!S337</f>
        <v>494.82733333333334</v>
      </c>
      <c r="G288" s="109"/>
    </row>
    <row r="289" spans="1:9">
      <c r="A289" s="75"/>
      <c r="C289" s="113"/>
      <c r="D289" s="67"/>
      <c r="E289" s="67"/>
      <c r="G289" s="109"/>
    </row>
    <row r="290" spans="1:9">
      <c r="A290" s="75" t="s">
        <v>111</v>
      </c>
      <c r="C290" s="109">
        <v>0.80700000000000005</v>
      </c>
      <c r="D290" s="200">
        <f>D288*C290</f>
        <v>831.21</v>
      </c>
      <c r="E290" s="200">
        <f>E288*C290</f>
        <v>399.32565800000003</v>
      </c>
      <c r="G290" s="109"/>
    </row>
    <row r="291" spans="1:9">
      <c r="A291" s="75" t="s">
        <v>112</v>
      </c>
      <c r="C291" s="109">
        <v>0.193</v>
      </c>
      <c r="D291" s="200">
        <f>D288*C291</f>
        <v>198.79</v>
      </c>
      <c r="E291" s="200">
        <f>E288*C291</f>
        <v>95.501675333333338</v>
      </c>
      <c r="G291" s="109"/>
    </row>
    <row r="292" spans="1:9">
      <c r="A292" s="75"/>
      <c r="C292" s="113"/>
      <c r="D292" s="67"/>
      <c r="E292" s="67"/>
      <c r="G292" s="109"/>
    </row>
    <row r="293" spans="1:9">
      <c r="A293" s="75" t="s">
        <v>108</v>
      </c>
      <c r="C293" s="113">
        <v>0.70269999999999999</v>
      </c>
      <c r="D293" s="67">
        <f>C293*$D$290</f>
        <v>584.09126700000002</v>
      </c>
      <c r="E293" s="67">
        <f>C293*$E$290</f>
        <v>280.60613987660003</v>
      </c>
      <c r="G293" s="109"/>
    </row>
    <row r="294" spans="1:9">
      <c r="A294" s="75" t="s">
        <v>109</v>
      </c>
      <c r="C294" s="113">
        <v>0.29730000000000001</v>
      </c>
      <c r="D294" s="67">
        <f>C294*$D$290</f>
        <v>247.11873300000002</v>
      </c>
      <c r="E294" s="67">
        <f>C294*$E$290</f>
        <v>118.71951812340001</v>
      </c>
      <c r="G294" s="109"/>
    </row>
    <row r="295" spans="1:9">
      <c r="A295" s="75" t="s">
        <v>110</v>
      </c>
      <c r="C295" s="113"/>
      <c r="D295" s="67">
        <f>D291</f>
        <v>198.79</v>
      </c>
      <c r="E295" s="67">
        <f>E291</f>
        <v>95.501675333333338</v>
      </c>
      <c r="G295" s="109"/>
    </row>
    <row r="296" spans="1:9">
      <c r="A296" s="75"/>
      <c r="C296" s="114"/>
      <c r="D296" s="67"/>
      <c r="E296" s="67"/>
      <c r="G296" s="109"/>
    </row>
    <row r="297" spans="1:9">
      <c r="A297" s="75"/>
      <c r="C297" s="114"/>
      <c r="D297" s="67"/>
      <c r="E297" s="67"/>
      <c r="G297" s="109"/>
    </row>
    <row r="298" spans="1:9">
      <c r="A298" s="105" t="s">
        <v>254</v>
      </c>
      <c r="D298" s="89">
        <f>D281+D274+D267+D261+D255+D249+D243+D237+D231+D288</f>
        <v>36447.432000000001</v>
      </c>
      <c r="E298" s="89">
        <f>E281+E274+E267+E261+E255+E249+E243+E237+E231+E288</f>
        <v>16502.538166666669</v>
      </c>
      <c r="G298" s="69"/>
    </row>
    <row r="299" spans="1:9">
      <c r="A299" s="104"/>
      <c r="D299" s="67"/>
      <c r="E299" s="67"/>
      <c r="G299" s="69"/>
    </row>
    <row r="300" spans="1:9">
      <c r="A300" s="75" t="s">
        <v>108</v>
      </c>
      <c r="D300" s="67">
        <f>D283+D276+D269+D263+D257+D251+D245+D239+D233+D293+D217</f>
        <v>17362.442421386702</v>
      </c>
      <c r="E300" s="67">
        <f>E283+E276+E269+E263+E257+E251+E245+E239+E233+E293+E217</f>
        <v>7926.6341222721112</v>
      </c>
      <c r="G300" s="69"/>
    </row>
    <row r="301" spans="1:9">
      <c r="A301" s="75" t="s">
        <v>109</v>
      </c>
      <c r="D301" s="67">
        <f>D284+D277+D270+D264+D258+D252+D246+D240+D234+D294+D218</f>
        <v>6599.2392795133001</v>
      </c>
      <c r="E301" s="67">
        <f>E284+E277+E270+E264+E258+E252+E246+E240+E234+E294+E218</f>
        <v>3010.2077130903872</v>
      </c>
      <c r="G301" s="69"/>
    </row>
    <row r="302" spans="1:9">
      <c r="A302" s="56"/>
      <c r="G302" s="69"/>
    </row>
    <row r="303" spans="1:9">
      <c r="A303" s="56"/>
      <c r="G303" s="69"/>
    </row>
    <row r="304" spans="1:9">
      <c r="A304" s="105" t="s">
        <v>119</v>
      </c>
      <c r="D304" s="89">
        <f>'CAP15.2 - AMA CALC'!R258</f>
        <v>400</v>
      </c>
      <c r="E304" s="89">
        <f>'CAP15.2 - AMA CALC'!S258</f>
        <v>189.42650000000003</v>
      </c>
      <c r="F304" s="112"/>
      <c r="G304" s="84"/>
      <c r="H304" s="84"/>
      <c r="I304" s="91"/>
    </row>
    <row r="305" spans="1:9">
      <c r="G305" s="69"/>
    </row>
    <row r="306" spans="1:9">
      <c r="A306" s="75" t="s">
        <v>108</v>
      </c>
      <c r="C306" s="110">
        <f>C372</f>
        <v>0.70269999999999999</v>
      </c>
      <c r="D306" s="67">
        <f>$C$306*D304</f>
        <v>281.08</v>
      </c>
      <c r="E306" s="67">
        <f>$C$306*E304</f>
        <v>133.11000155000002</v>
      </c>
      <c r="F306" s="67"/>
      <c r="G306" s="69"/>
      <c r="H306" s="68"/>
      <c r="I306" s="68"/>
    </row>
    <row r="307" spans="1:9">
      <c r="A307" s="75" t="s">
        <v>109</v>
      </c>
      <c r="C307" s="110">
        <f>D372</f>
        <v>0.29730000000000001</v>
      </c>
      <c r="D307" s="67">
        <f>$C$307*D304</f>
        <v>118.92</v>
      </c>
      <c r="E307" s="67">
        <f>$C$307*E304</f>
        <v>56.316498450000012</v>
      </c>
      <c r="F307" s="67"/>
      <c r="G307" s="69"/>
      <c r="H307" s="68"/>
      <c r="I307" s="68"/>
    </row>
    <row r="308" spans="1:9">
      <c r="C308" s="110">
        <f>SUM(C306:C307)</f>
        <v>1</v>
      </c>
    </row>
    <row r="309" spans="1:9">
      <c r="A309" s="2"/>
      <c r="B309" s="2"/>
      <c r="C309" s="4"/>
      <c r="D309" s="4"/>
      <c r="E309" s="4"/>
      <c r="F309" s="4"/>
      <c r="G309" s="2"/>
    </row>
    <row r="310" spans="1:9">
      <c r="A310" s="2"/>
      <c r="B310" s="2"/>
      <c r="C310" s="4"/>
      <c r="D310" s="4"/>
      <c r="E310" s="4"/>
      <c r="F310" s="4"/>
      <c r="G310" s="2"/>
      <c r="H310" s="2"/>
    </row>
    <row r="311" spans="1:9">
      <c r="A311" s="106" t="s">
        <v>386</v>
      </c>
      <c r="B311" s="2"/>
      <c r="C311" s="4"/>
      <c r="D311" s="4"/>
      <c r="E311" s="4"/>
      <c r="F311" s="4"/>
      <c r="G311" s="2"/>
      <c r="H311" s="2"/>
    </row>
    <row r="312" spans="1:9">
      <c r="A312" s="2"/>
      <c r="B312" s="2"/>
      <c r="C312" s="4"/>
      <c r="D312" s="4"/>
      <c r="E312" s="4"/>
      <c r="F312" s="4"/>
      <c r="G312" s="2"/>
      <c r="H312" s="2"/>
    </row>
    <row r="313" spans="1:9">
      <c r="A313" s="107" t="s">
        <v>121</v>
      </c>
      <c r="B313" s="2"/>
      <c r="C313" s="4"/>
      <c r="D313" s="117">
        <f>D14+D19+D24+D29+D37+D47+D53+D59+D65+D71+D77+D83+D89+D96+D111+D153+D167+D194+D180+D34+D121+D144+D139+D129</f>
        <v>236772.27395396997</v>
      </c>
      <c r="E313" s="117">
        <f>E14+E19+E24+E29+E37+E47+E53+E59+E65+E71+E77+E83+E89+E96+E111+E153+E167+E194+E180+E34+E121+E144+E139+E129</f>
        <v>102443.4809550786</v>
      </c>
      <c r="F313" s="94"/>
      <c r="G313" s="93"/>
      <c r="H313" s="93"/>
      <c r="I313" s="93"/>
    </row>
    <row r="314" spans="1:9">
      <c r="A314" s="107"/>
      <c r="B314" s="2"/>
      <c r="C314" s="4"/>
      <c r="D314" s="95"/>
      <c r="E314" s="95"/>
      <c r="F314" s="94"/>
      <c r="G314" s="93"/>
      <c r="H314" s="93"/>
      <c r="I314" s="93"/>
    </row>
    <row r="315" spans="1:9">
      <c r="A315" s="2" t="s">
        <v>127</v>
      </c>
      <c r="B315" s="2"/>
      <c r="C315" s="4"/>
      <c r="D315" s="95">
        <f>D167+D194+D180</f>
        <v>60239.793162775575</v>
      </c>
      <c r="E315" s="95">
        <f>E167+E194+E180</f>
        <v>44615.10848693853</v>
      </c>
      <c r="F315" s="4"/>
      <c r="G315" s="2"/>
    </row>
    <row r="316" spans="1:9">
      <c r="A316" s="2" t="s">
        <v>128</v>
      </c>
      <c r="B316" s="2"/>
      <c r="C316" s="4"/>
      <c r="D316" s="95">
        <f>D14+D19+D24</f>
        <v>74729.250092400005</v>
      </c>
      <c r="E316" s="95">
        <f>E14+E19+E24</f>
        <v>24348.782746925001</v>
      </c>
      <c r="F316" s="4"/>
      <c r="G316" s="2"/>
    </row>
    <row r="317" spans="1:9">
      <c r="A317" s="2" t="s">
        <v>129</v>
      </c>
      <c r="B317" s="2"/>
      <c r="C317" s="4"/>
      <c r="D317" s="95">
        <f>D29+D34</f>
        <v>26472.353129899999</v>
      </c>
      <c r="E317" s="95">
        <f>E29+E34</f>
        <v>5476.0777169125004</v>
      </c>
      <c r="F317" s="4"/>
      <c r="G317" s="2"/>
    </row>
    <row r="318" spans="1:9">
      <c r="A318" s="2" t="s">
        <v>130</v>
      </c>
      <c r="B318" s="2"/>
      <c r="C318" s="4"/>
      <c r="D318" s="95">
        <f>D47+D37+D53+D59+D65+D71+D77+D83+D89+D96</f>
        <v>47920.646438640928</v>
      </c>
      <c r="E318" s="95">
        <f>E47+E37+E53+E59+E65+E71+E77+E83+E89+E96</f>
        <v>19889.615201562705</v>
      </c>
      <c r="F318" s="4"/>
      <c r="G318" s="2"/>
    </row>
    <row r="319" spans="1:9">
      <c r="A319" s="2" t="s">
        <v>131</v>
      </c>
      <c r="B319" s="2"/>
      <c r="C319" s="4"/>
      <c r="D319" s="95">
        <f>D153+D111+D121+D144+D139+D129</f>
        <v>27410.231130253502</v>
      </c>
      <c r="E319" s="95">
        <f>E153+E111+E121+E144+E139+E129</f>
        <v>8113.8968027398714</v>
      </c>
      <c r="F319" s="4"/>
      <c r="G319" s="2"/>
    </row>
    <row r="320" spans="1:9">
      <c r="A320" s="96" t="s">
        <v>133</v>
      </c>
      <c r="B320" s="2"/>
      <c r="C320" s="4"/>
      <c r="D320" s="118">
        <f>SUM(D315:D319)</f>
        <v>236772.27395397</v>
      </c>
      <c r="E320" s="118">
        <f>SUM(E315:E319)</f>
        <v>102443.4809550786</v>
      </c>
      <c r="F320" s="4"/>
      <c r="G320" s="2"/>
    </row>
    <row r="321" spans="1:9">
      <c r="A321" s="96"/>
      <c r="B321" s="2"/>
      <c r="C321" s="4"/>
      <c r="D321" s="194" t="s">
        <v>404</v>
      </c>
      <c r="E321" s="194" t="s">
        <v>404</v>
      </c>
      <c r="F321" s="4"/>
      <c r="G321" s="2"/>
    </row>
    <row r="322" spans="1:9" s="3" customFormat="1">
      <c r="A322" s="108" t="s">
        <v>122</v>
      </c>
      <c r="B322" s="4"/>
      <c r="C322" s="4"/>
      <c r="D322" s="92">
        <f>D15+D20+D25+D30+D39+D48+D54+D60+D66+D72+D78+D84+D90+D97+D112+D154+D168+D195+D181+D35+D122+D130</f>
        <v>111538.94324043</v>
      </c>
      <c r="E322" s="92">
        <f>E15+E20+E25+E30+E39+E48+E54+E60+E66+E72+E78+E84+E90+E97+E112+E154+E168+E195+E181+E35+E122+E130</f>
        <v>48228.499278726391</v>
      </c>
      <c r="F322" s="4"/>
      <c r="G322" s="4"/>
    </row>
    <row r="323" spans="1:9" s="3" customFormat="1">
      <c r="A323" s="108"/>
      <c r="B323" s="4"/>
      <c r="C323" s="4"/>
      <c r="D323" s="94"/>
      <c r="E323" s="94"/>
      <c r="F323" s="94"/>
      <c r="G323" s="94"/>
      <c r="H323" s="94"/>
      <c r="I323" s="94"/>
    </row>
    <row r="324" spans="1:9" s="3" customFormat="1">
      <c r="A324" s="4" t="s">
        <v>127</v>
      </c>
      <c r="B324" s="4"/>
      <c r="C324" s="4"/>
      <c r="D324" s="94">
        <f>D168+D195+D181</f>
        <v>28770.938936424416</v>
      </c>
      <c r="E324" s="94">
        <f>E168+E195+E181</f>
        <v>21308.482226211476</v>
      </c>
      <c r="F324" s="4"/>
      <c r="G324" s="4"/>
    </row>
    <row r="325" spans="1:9" s="3" customFormat="1">
      <c r="A325" s="4" t="s">
        <v>128</v>
      </c>
      <c r="B325" s="4"/>
      <c r="C325" s="4"/>
      <c r="D325" s="94">
        <f>D15+D20+D25</f>
        <v>39903.745907600009</v>
      </c>
      <c r="E325" s="94">
        <f>E15+E20+E25</f>
        <v>13001.704669741668</v>
      </c>
      <c r="F325" s="4"/>
      <c r="G325" s="4"/>
    </row>
    <row r="326" spans="1:9" s="3" customFormat="1">
      <c r="A326" s="4" t="s">
        <v>129</v>
      </c>
      <c r="B326" s="4"/>
      <c r="C326" s="4"/>
      <c r="D326" s="94">
        <f>D30+D35</f>
        <v>12440.2658701</v>
      </c>
      <c r="E326" s="94">
        <f>E30+E35</f>
        <v>2751.1164080875005</v>
      </c>
      <c r="F326" s="4"/>
      <c r="G326" s="4"/>
    </row>
    <row r="327" spans="1:9" s="3" customFormat="1">
      <c r="A327" s="4" t="s">
        <v>130</v>
      </c>
      <c r="B327" s="4"/>
      <c r="C327" s="4"/>
      <c r="D327" s="94">
        <f>D48+D39+D54+D60+D66+D72+D78+D84+D90+D97</f>
        <v>19893.00256135907</v>
      </c>
      <c r="E327" s="94">
        <f>E48+E39+E54+E60+E66+E72+E78+E84+E90+E97</f>
        <v>8261.3339234372961</v>
      </c>
      <c r="F327" s="4"/>
      <c r="G327" s="4"/>
    </row>
    <row r="328" spans="1:9" s="3" customFormat="1">
      <c r="A328" s="4" t="s">
        <v>131</v>
      </c>
      <c r="B328" s="4"/>
      <c r="C328" s="4"/>
      <c r="D328" s="94">
        <f>D154+D112+D122+D130</f>
        <v>10530.989964946497</v>
      </c>
      <c r="E328" s="94">
        <f>E154+E112+E122+E130</f>
        <v>2905.8620512484617</v>
      </c>
      <c r="F328" s="4"/>
      <c r="G328" s="4"/>
    </row>
    <row r="329" spans="1:9" s="3" customFormat="1">
      <c r="A329" s="98" t="s">
        <v>133</v>
      </c>
      <c r="B329" s="4"/>
      <c r="C329" s="4"/>
      <c r="D329" s="97">
        <f>SUM(D324:D328)</f>
        <v>111538.94324042999</v>
      </c>
      <c r="E329" s="97">
        <f>SUM(E324:E328)</f>
        <v>48228.499278726405</v>
      </c>
      <c r="F329" s="4"/>
      <c r="G329" s="4"/>
    </row>
    <row r="330" spans="1:9">
      <c r="A330" s="2"/>
      <c r="B330" s="2"/>
      <c r="C330" s="4"/>
      <c r="D330" s="94"/>
      <c r="E330" s="94"/>
      <c r="F330" s="4"/>
      <c r="G330" s="2"/>
      <c r="H330" s="2"/>
      <c r="I330" s="2"/>
    </row>
    <row r="331" spans="1:9">
      <c r="A331" s="107" t="s">
        <v>123</v>
      </c>
      <c r="B331" s="2"/>
      <c r="C331" s="4"/>
      <c r="D331" s="117">
        <f>D114+D156+D197+D170+D208+D222+D233+D239+D245+D251+D257+D263+D269+D276+D283+D306+D183+D293+D217+D145+D140+D132</f>
        <v>47587.003720095454</v>
      </c>
      <c r="E331" s="117">
        <f>E114+E156+E197+E170+E208+E222+E233+E239+E245+E251+E257+E263+E269+E276+E283+E306+E183+E293+E217+E145+E140+E132</f>
        <v>24671.389330419181</v>
      </c>
      <c r="F331" s="94"/>
      <c r="G331" s="93"/>
      <c r="H331" s="93"/>
      <c r="I331" s="93"/>
    </row>
    <row r="332" spans="1:9">
      <c r="A332" s="107"/>
      <c r="B332" s="2"/>
      <c r="C332" s="4"/>
      <c r="D332" s="95"/>
      <c r="E332" s="95"/>
      <c r="F332" s="94"/>
      <c r="G332" s="93"/>
      <c r="H332" s="93"/>
      <c r="I332" s="93"/>
    </row>
    <row r="333" spans="1:9">
      <c r="A333" s="2" t="s">
        <v>127</v>
      </c>
      <c r="B333" s="2"/>
      <c r="C333" s="4"/>
      <c r="D333" s="95">
        <f>D170+D197+D183</f>
        <v>17865.212689805536</v>
      </c>
      <c r="E333" s="95">
        <f>E170+E197+E183</f>
        <v>13231.426611046814</v>
      </c>
      <c r="F333" s="4"/>
      <c r="G333" s="2"/>
    </row>
    <row r="334" spans="1:9">
      <c r="A334" s="2" t="s">
        <v>132</v>
      </c>
      <c r="B334" s="2"/>
      <c r="C334" s="4"/>
      <c r="D334" s="95">
        <f>D208</f>
        <v>769.12911207000002</v>
      </c>
      <c r="E334" s="95">
        <f>E208</f>
        <v>405.12953057377501</v>
      </c>
      <c r="F334" s="4"/>
      <c r="G334" s="2"/>
    </row>
    <row r="335" spans="1:9">
      <c r="A335" s="2" t="s">
        <v>130</v>
      </c>
      <c r="B335" s="2"/>
      <c r="C335" s="4"/>
      <c r="D335" s="95">
        <f>D306+D239+D245+D251+D257+D263+D269+D276+D283+D233+D222+D293+D217</f>
        <v>21148.433421386701</v>
      </c>
      <c r="E335" s="95">
        <f>E306+E239+E245+E251+E257+E263+E269+E276+E283+E233+E222+E293+E217</f>
        <v>8721.2112488221119</v>
      </c>
      <c r="F335" s="4"/>
      <c r="G335" s="2"/>
    </row>
    <row r="336" spans="1:9">
      <c r="A336" s="2" t="s">
        <v>131</v>
      </c>
      <c r="B336" s="2"/>
      <c r="C336" s="4"/>
      <c r="D336" s="95">
        <f>D156+D114+D145+D140+D132</f>
        <v>7804.228496833216</v>
      </c>
      <c r="E336" s="95">
        <f>E156+E114+E145+E140+E132</f>
        <v>2313.6219399764782</v>
      </c>
      <c r="F336" s="4"/>
      <c r="G336" s="2"/>
    </row>
    <row r="337" spans="1:9">
      <c r="A337" s="96" t="s">
        <v>133</v>
      </c>
      <c r="B337" s="2"/>
      <c r="C337" s="4"/>
      <c r="D337" s="118">
        <f>SUM(D332:D336)</f>
        <v>47587.003720095454</v>
      </c>
      <c r="E337" s="118">
        <f>SUM(E332:E336)</f>
        <v>24671.389330419177</v>
      </c>
      <c r="F337" s="4"/>
      <c r="G337" s="2"/>
    </row>
    <row r="338" spans="1:9">
      <c r="A338" s="107"/>
      <c r="B338" s="2"/>
      <c r="C338" s="4"/>
      <c r="D338" s="194" t="s">
        <v>404</v>
      </c>
      <c r="E338" s="194" t="s">
        <v>404</v>
      </c>
      <c r="F338" s="4"/>
      <c r="G338" s="2"/>
    </row>
    <row r="339" spans="1:9" s="3" customFormat="1">
      <c r="A339" s="108" t="s">
        <v>124</v>
      </c>
      <c r="B339" s="4"/>
      <c r="C339" s="4"/>
      <c r="D339" s="92">
        <f>D115+D157+D171+D198+D209+D225+D234+D240+D246+D252+D258+D264+D270+D277+D284+D307+D184+D294+D218+D133</f>
        <v>17365.582470724548</v>
      </c>
      <c r="E339" s="92">
        <f>E115+E157+E171+E198+E209+E225+E234+E240+E246+E252+E258+E264+E270+E277+E284+E307+E184+E294+E218+E133</f>
        <v>9222.06129100832</v>
      </c>
      <c r="F339" s="94"/>
      <c r="G339" s="94"/>
      <c r="H339" s="94"/>
      <c r="I339" s="94"/>
    </row>
    <row r="340" spans="1:9" s="3" customFormat="1">
      <c r="A340" s="108"/>
      <c r="B340" s="4"/>
      <c r="C340" s="4"/>
      <c r="D340" s="94"/>
      <c r="E340" s="94"/>
      <c r="F340" s="94"/>
      <c r="G340" s="94"/>
      <c r="H340" s="94"/>
      <c r="I340" s="94"/>
    </row>
    <row r="341" spans="1:9" s="3" customFormat="1">
      <c r="A341" s="4" t="s">
        <v>127</v>
      </c>
      <c r="B341" s="4"/>
      <c r="C341" s="4"/>
      <c r="D341" s="94">
        <f>D171+D198+D184</f>
        <v>6883.9910087544631</v>
      </c>
      <c r="E341" s="94">
        <f>E171+E198+E184</f>
        <v>5098.4571751231861</v>
      </c>
      <c r="F341" s="4"/>
      <c r="G341" s="4"/>
    </row>
    <row r="342" spans="1:9" s="3" customFormat="1">
      <c r="A342" s="4" t="s">
        <v>132</v>
      </c>
      <c r="B342" s="4"/>
      <c r="C342" s="4"/>
      <c r="D342" s="94">
        <f>D209</f>
        <v>325.40498793000006</v>
      </c>
      <c r="E342" s="94">
        <f>E209</f>
        <v>171.40317267622501</v>
      </c>
      <c r="F342" s="4"/>
      <c r="G342" s="4"/>
    </row>
    <row r="343" spans="1:9" s="3" customFormat="1">
      <c r="A343" s="4" t="s">
        <v>130</v>
      </c>
      <c r="B343" s="4"/>
      <c r="C343" s="4"/>
      <c r="D343" s="94">
        <f>D307+D240+D246+D252+D258+D264+D270+D277+D284+D234+D225+D294+D218</f>
        <v>7718.1572795132997</v>
      </c>
      <c r="E343" s="94">
        <f>E307+E240+E246+E252+E258+E264+E270+E277+E284+E234+E225+E294+E218</f>
        <v>3274.8571282070543</v>
      </c>
      <c r="F343" s="4"/>
      <c r="G343" s="4"/>
    </row>
    <row r="344" spans="1:9" s="3" customFormat="1">
      <c r="A344" s="4" t="s">
        <v>131</v>
      </c>
      <c r="B344" s="4"/>
      <c r="C344" s="4"/>
      <c r="D344" s="94">
        <f>D157+D115+D133</f>
        <v>2438.0291945267841</v>
      </c>
      <c r="E344" s="94">
        <f>E157+E115+E133</f>
        <v>677.34381500185543</v>
      </c>
      <c r="F344" s="4"/>
      <c r="G344" s="4"/>
    </row>
    <row r="345" spans="1:9" s="3" customFormat="1">
      <c r="A345" s="98" t="s">
        <v>133</v>
      </c>
      <c r="B345" s="4"/>
      <c r="C345" s="4"/>
      <c r="D345" s="97">
        <f>SUM(D340:D344)</f>
        <v>17365.582470724548</v>
      </c>
      <c r="E345" s="97">
        <f>SUM(E340:E344)</f>
        <v>9222.0612910083219</v>
      </c>
      <c r="F345" s="4"/>
      <c r="G345" s="4"/>
    </row>
    <row r="346" spans="1:9" s="3" customFormat="1">
      <c r="A346" s="108"/>
      <c r="B346" s="4"/>
      <c r="C346" s="4"/>
      <c r="D346" s="94"/>
      <c r="E346" s="94"/>
      <c r="F346" s="4"/>
      <c r="G346" s="4"/>
    </row>
    <row r="347" spans="1:9" s="3" customFormat="1">
      <c r="A347" s="108" t="s">
        <v>125</v>
      </c>
      <c r="B347" s="4"/>
      <c r="C347" s="4"/>
      <c r="D347" s="92">
        <f>D116+D158+D172+D199+D210+D228+D235+D241+D247+D253+D259+D265+D271+D278+D285+D185+D295+D219</f>
        <v>35389.926614880002</v>
      </c>
      <c r="E347" s="92">
        <f>E116+E158+E172+E199+E210+E228+E235+E241+E247+E253+E259+E265+E271+E278+E285+E185+E295+E219</f>
        <v>16809.810817788333</v>
      </c>
      <c r="F347" s="94"/>
      <c r="G347" s="94"/>
      <c r="H347" s="94"/>
      <c r="I347" s="94"/>
    </row>
    <row r="348" spans="1:9" s="3" customFormat="1">
      <c r="A348" s="108"/>
      <c r="B348" s="4"/>
      <c r="C348" s="4"/>
      <c r="D348" s="94"/>
      <c r="E348" s="94"/>
      <c r="F348" s="94"/>
      <c r="G348" s="94"/>
      <c r="H348" s="94"/>
      <c r="I348" s="94"/>
    </row>
    <row r="349" spans="1:9" s="3" customFormat="1">
      <c r="A349" s="4" t="s">
        <v>127</v>
      </c>
      <c r="B349" s="4"/>
      <c r="C349" s="4"/>
      <c r="D349" s="94">
        <f>D172+D199+D185</f>
        <v>11097.312202239998</v>
      </c>
      <c r="E349" s="94">
        <f>E172+E199+E185</f>
        <v>8218.9490006800006</v>
      </c>
      <c r="F349" s="4"/>
      <c r="G349" s="4"/>
    </row>
    <row r="350" spans="1:9" s="3" customFormat="1">
      <c r="A350" s="4" t="s">
        <v>132</v>
      </c>
      <c r="B350" s="4"/>
      <c r="C350" s="4"/>
      <c r="D350" s="94">
        <f>D210</f>
        <v>261.76589999999999</v>
      </c>
      <c r="E350" s="94">
        <f>E210</f>
        <v>137.88204675</v>
      </c>
      <c r="F350" s="4"/>
      <c r="G350" s="4"/>
    </row>
    <row r="351" spans="1:9" s="3" customFormat="1">
      <c r="A351" s="4" t="s">
        <v>130</v>
      </c>
      <c r="B351" s="4"/>
      <c r="C351" s="4"/>
      <c r="D351" s="94">
        <f>+D241+D247+D253+D259+D265+D271+D278+D285+D235+D228+D295+D219</f>
        <v>20151.8152992</v>
      </c>
      <c r="E351" s="94">
        <f>+E241+E247+E253+E259+E265+E271+E278+E285+E235+E228+E295+E219</f>
        <v>7363.2027959916668</v>
      </c>
      <c r="F351" s="4"/>
      <c r="G351" s="4"/>
    </row>
    <row r="352" spans="1:9" s="3" customFormat="1">
      <c r="A352" s="4" t="s">
        <v>131</v>
      </c>
      <c r="B352" s="4"/>
      <c r="C352" s="4"/>
      <c r="D352" s="94">
        <f>D158+D116</f>
        <v>3879.0332134399996</v>
      </c>
      <c r="E352" s="94">
        <f>E158+E116</f>
        <v>1089.7769743666668</v>
      </c>
      <c r="F352" s="4"/>
      <c r="G352" s="4"/>
    </row>
    <row r="353" spans="1:8" s="3" customFormat="1">
      <c r="A353" s="98" t="s">
        <v>133</v>
      </c>
      <c r="B353" s="4"/>
      <c r="C353" s="4"/>
      <c r="D353" s="97">
        <f>SUM(D348:D352)</f>
        <v>35389.926614880002</v>
      </c>
      <c r="E353" s="97">
        <f>SUM(E348:E352)</f>
        <v>16809.810817788333</v>
      </c>
      <c r="F353" s="4"/>
      <c r="G353" s="4"/>
    </row>
    <row r="354" spans="1:8">
      <c r="A354" s="2"/>
      <c r="B354" s="2"/>
      <c r="C354" s="4"/>
      <c r="D354" s="94"/>
      <c r="E354" s="115"/>
      <c r="F354" s="4"/>
      <c r="G354" s="2"/>
      <c r="H354" s="3"/>
    </row>
    <row r="355" spans="1:8" ht="13.5" thickBot="1">
      <c r="A355" s="107" t="s">
        <v>126</v>
      </c>
      <c r="C355" s="193" t="s">
        <v>403</v>
      </c>
      <c r="D355" s="99">
        <f>D313+D322+D331+D339+D347</f>
        <v>448653.73000009992</v>
      </c>
      <c r="E355" s="99">
        <f>E313+E322+E331+E339+E347</f>
        <v>201375.24167302082</v>
      </c>
      <c r="F355" s="94"/>
      <c r="G355" s="2"/>
      <c r="H355" s="3"/>
    </row>
    <row r="356" spans="1:8" ht="13.5" thickTop="1">
      <c r="A356" s="2"/>
      <c r="B356" s="2"/>
      <c r="C356" s="4"/>
      <c r="D356" s="67">
        <f>D355-'CAP15.2 - AMA CALC'!R350</f>
        <v>0.17000009992625564</v>
      </c>
      <c r="E356" s="67">
        <f>E355-'CAP15.2 - AMA CALC'!S350</f>
        <v>8.2256354158744216E-2</v>
      </c>
      <c r="F356" s="4"/>
      <c r="G356" s="2"/>
      <c r="H356" s="3"/>
    </row>
    <row r="357" spans="1:8">
      <c r="A357" s="2"/>
      <c r="B357" s="2"/>
      <c r="C357" s="4"/>
      <c r="D357" s="116"/>
      <c r="E357" s="116"/>
      <c r="F357" s="4"/>
      <c r="G357" s="2"/>
      <c r="H357" s="3"/>
    </row>
    <row r="358" spans="1:8">
      <c r="D358" s="67"/>
      <c r="E358" s="67"/>
      <c r="H358" s="3"/>
    </row>
    <row r="359" spans="1:8" s="3" customFormat="1"/>
    <row r="360" spans="1:8" s="3" customFormat="1" ht="13.5" thickBot="1">
      <c r="A360" s="64" t="s">
        <v>265</v>
      </c>
      <c r="B360" s="65"/>
      <c r="C360" s="66" t="s">
        <v>490</v>
      </c>
      <c r="D360" s="66"/>
      <c r="E360" s="66"/>
      <c r="F360" s="65"/>
    </row>
    <row r="361" spans="1:8" s="3" customFormat="1">
      <c r="A361" s="70"/>
      <c r="B361" s="71" t="s">
        <v>255</v>
      </c>
      <c r="C361" s="72" t="s">
        <v>39</v>
      </c>
      <c r="D361" s="72" t="s">
        <v>46</v>
      </c>
      <c r="E361" s="72" t="s">
        <v>59</v>
      </c>
      <c r="F361" s="72" t="s">
        <v>256</v>
      </c>
    </row>
    <row r="362" spans="1:8">
      <c r="A362" s="3" t="s">
        <v>263</v>
      </c>
      <c r="B362" s="3">
        <v>1</v>
      </c>
      <c r="C362" s="73">
        <v>0.65190000000000003</v>
      </c>
      <c r="D362" s="73">
        <v>0.34810000000000002</v>
      </c>
      <c r="E362" s="73"/>
      <c r="F362" s="74">
        <f t="shared" ref="F362:F365" si="3">SUM(C362:E362)</f>
        <v>1</v>
      </c>
      <c r="H362" s="3"/>
    </row>
    <row r="363" spans="1:8">
      <c r="A363" s="3" t="s">
        <v>257</v>
      </c>
      <c r="B363" s="3">
        <v>2</v>
      </c>
      <c r="C363" s="73">
        <v>0.65642</v>
      </c>
      <c r="D363" s="73">
        <v>0.34358</v>
      </c>
      <c r="E363" s="73"/>
      <c r="F363" s="74">
        <f t="shared" si="3"/>
        <v>1</v>
      </c>
      <c r="H363" s="3"/>
    </row>
    <row r="364" spans="1:8">
      <c r="A364" s="3" t="s">
        <v>258</v>
      </c>
      <c r="B364" s="3">
        <v>3</v>
      </c>
      <c r="C364" s="73">
        <v>0.64009000000000005</v>
      </c>
      <c r="D364" s="73">
        <v>0.35991000000000001</v>
      </c>
      <c r="E364" s="73"/>
      <c r="F364" s="74">
        <f t="shared" si="3"/>
        <v>1</v>
      </c>
      <c r="H364" s="3"/>
    </row>
    <row r="365" spans="1:8">
      <c r="A365" s="3" t="s">
        <v>264</v>
      </c>
      <c r="B365" s="3">
        <v>4</v>
      </c>
      <c r="C365" s="73">
        <v>0.67676999999999998</v>
      </c>
      <c r="D365" s="73">
        <v>0.32323000000000002</v>
      </c>
      <c r="E365" s="73"/>
      <c r="F365" s="74">
        <f t="shared" si="3"/>
        <v>1</v>
      </c>
      <c r="H365" s="3"/>
    </row>
    <row r="366" spans="1:8">
      <c r="A366" s="1" t="s">
        <v>269</v>
      </c>
      <c r="B366" s="1">
        <v>7</v>
      </c>
      <c r="C366" s="73">
        <v>0.71289999999999998</v>
      </c>
      <c r="D366" s="73">
        <v>0.19822000000000001</v>
      </c>
      <c r="E366" s="73">
        <v>8.8880000000000001E-2</v>
      </c>
      <c r="F366" s="74">
        <f>SUM(C366:E366)</f>
        <v>0.99999999999999989</v>
      </c>
      <c r="H366" s="3"/>
    </row>
    <row r="367" spans="1:8">
      <c r="A367" s="1" t="s">
        <v>268</v>
      </c>
      <c r="B367" s="1">
        <v>9</v>
      </c>
      <c r="C367" s="73">
        <v>0.78641000000000005</v>
      </c>
      <c r="D367" s="73">
        <v>0.21359</v>
      </c>
      <c r="E367" s="73"/>
      <c r="F367" s="74">
        <f>SUM(C367:E367)</f>
        <v>1</v>
      </c>
      <c r="H367" s="3"/>
    </row>
    <row r="368" spans="1:8">
      <c r="A368" s="1" t="s">
        <v>267</v>
      </c>
      <c r="B368" s="1">
        <v>10</v>
      </c>
      <c r="C368" s="73">
        <v>0.65027000000000001</v>
      </c>
      <c r="D368" s="73">
        <v>0.34972999999999999</v>
      </c>
      <c r="E368" s="73"/>
      <c r="F368" s="74">
        <f>SUM(C368:E368)</f>
        <v>1</v>
      </c>
      <c r="H368" s="3"/>
    </row>
    <row r="369" spans="1:8">
      <c r="H369" s="3"/>
    </row>
    <row r="370" spans="1:8" ht="13.5" thickBot="1">
      <c r="A370" s="64" t="s">
        <v>266</v>
      </c>
      <c r="B370" s="65"/>
      <c r="C370" s="66" t="s">
        <v>491</v>
      </c>
      <c r="D370" s="65"/>
      <c r="E370" s="66"/>
      <c r="F370" s="65"/>
      <c r="H370" s="3"/>
    </row>
    <row r="371" spans="1:8">
      <c r="A371" s="86"/>
      <c r="B371" s="71" t="s">
        <v>255</v>
      </c>
      <c r="C371" s="71" t="s">
        <v>39</v>
      </c>
      <c r="D371" s="71" t="s">
        <v>46</v>
      </c>
      <c r="E371" s="71" t="s">
        <v>59</v>
      </c>
      <c r="F371" s="71" t="s">
        <v>256</v>
      </c>
      <c r="H371" s="3"/>
    </row>
    <row r="372" spans="1:8">
      <c r="A372" s="87" t="s">
        <v>262</v>
      </c>
      <c r="B372" s="87">
        <v>1</v>
      </c>
      <c r="C372" s="88">
        <v>0.70269999999999999</v>
      </c>
      <c r="D372" s="88">
        <v>0.29730000000000001</v>
      </c>
      <c r="E372" s="88"/>
      <c r="F372" s="74">
        <f t="shared" ref="F372:F378" si="4">SUM(C372:E372)</f>
        <v>1</v>
      </c>
      <c r="H372" s="3"/>
    </row>
    <row r="373" spans="1:8">
      <c r="A373" s="87" t="s">
        <v>257</v>
      </c>
      <c r="B373" s="87">
        <v>2</v>
      </c>
      <c r="C373" s="88">
        <v>0.66383000000000003</v>
      </c>
      <c r="D373" s="88">
        <v>0.33617000000000002</v>
      </c>
      <c r="E373" s="88"/>
      <c r="F373" s="74">
        <f t="shared" si="4"/>
        <v>1</v>
      </c>
      <c r="H373" s="3"/>
    </row>
    <row r="374" spans="1:8">
      <c r="A374" s="87" t="s">
        <v>258</v>
      </c>
      <c r="B374" s="87">
        <v>3</v>
      </c>
      <c r="C374" s="88">
        <v>0.64981</v>
      </c>
      <c r="D374" s="88">
        <v>0.35019</v>
      </c>
      <c r="E374" s="88"/>
      <c r="F374" s="74">
        <f t="shared" si="4"/>
        <v>1</v>
      </c>
      <c r="H374" s="3"/>
    </row>
    <row r="375" spans="1:8">
      <c r="A375" s="87" t="s">
        <v>259</v>
      </c>
      <c r="B375" s="87">
        <v>4</v>
      </c>
      <c r="C375" s="88">
        <v>0.72184999999999999</v>
      </c>
      <c r="D375" s="88">
        <v>0.27815000000000001</v>
      </c>
      <c r="E375" s="88"/>
      <c r="F375" s="74">
        <f t="shared" si="4"/>
        <v>1</v>
      </c>
      <c r="H375" s="3"/>
    </row>
    <row r="376" spans="1:8">
      <c r="A376" s="87" t="s">
        <v>260</v>
      </c>
      <c r="B376" s="87">
        <v>6</v>
      </c>
      <c r="C376" s="88">
        <v>0.69035000000000002</v>
      </c>
      <c r="D376" s="88">
        <v>0.30964999999999998</v>
      </c>
      <c r="E376" s="88"/>
      <c r="F376" s="74">
        <f t="shared" si="4"/>
        <v>1</v>
      </c>
      <c r="H376" s="3"/>
    </row>
    <row r="377" spans="1:8">
      <c r="A377" s="87"/>
      <c r="B377" s="87">
        <v>8</v>
      </c>
      <c r="C377" s="88">
        <v>0.68732000000000004</v>
      </c>
      <c r="D377" s="88"/>
      <c r="E377" s="88">
        <v>0.31268000000000001</v>
      </c>
      <c r="F377" s="74">
        <f t="shared" si="4"/>
        <v>1</v>
      </c>
    </row>
    <row r="378" spans="1:8">
      <c r="A378" s="87" t="s">
        <v>261</v>
      </c>
      <c r="B378" s="87">
        <v>10</v>
      </c>
      <c r="C378" s="88">
        <v>0.69413999999999998</v>
      </c>
      <c r="D378" s="88">
        <v>0.30586000000000002</v>
      </c>
      <c r="E378" s="88"/>
      <c r="F378" s="74">
        <f t="shared" si="4"/>
        <v>1</v>
      </c>
    </row>
  </sheetData>
  <phoneticPr fontId="4" type="noConversion"/>
  <pageMargins left="0.75" right="0.25" top="0.5" bottom="1" header="0.5" footer="0.5"/>
  <pageSetup scale="91" fitToHeight="8" orientation="landscape" r:id="rId1"/>
  <headerFooter alignWithMargins="0">
    <oddFooter>&amp;L&amp;F
&amp;A</oddFooter>
  </headerFooter>
  <rowBreaks count="8" manualBreakCount="8">
    <brk id="40" max="4" man="1"/>
    <brk id="74" max="4" man="1"/>
    <brk id="104" max="4" man="1"/>
    <brk id="160" max="4" man="1"/>
    <brk id="221" max="4" man="1"/>
    <brk id="254" max="4" man="1"/>
    <brk id="303" max="4" man="1"/>
    <brk id="338" max="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6"/>
  <sheetViews>
    <sheetView zoomScale="85" zoomScaleNormal="85" workbookViewId="0">
      <pane xSplit="4" ySplit="12" topLeftCell="E13" activePane="bottomRight" state="frozen"/>
      <selection activeCell="A2" sqref="A2"/>
      <selection pane="topRight" activeCell="A2" sqref="A2"/>
      <selection pane="bottomLeft" activeCell="A2" sqref="A2"/>
      <selection pane="bottomRight" activeCell="C282" sqref="C282"/>
    </sheetView>
  </sheetViews>
  <sheetFormatPr defaultRowHeight="15"/>
  <cols>
    <col min="1" max="1" width="26.28515625" style="119" customWidth="1"/>
    <col min="2" max="2" width="7.28515625" style="119" bestFit="1" customWidth="1"/>
    <col min="3" max="3" width="13" style="119" customWidth="1"/>
    <col min="4" max="4" width="4.85546875" style="119" customWidth="1"/>
    <col min="5" max="6" width="9.140625" style="119"/>
    <col min="7" max="7" width="11" style="119" customWidth="1"/>
    <col min="8" max="8" width="9.140625" style="119"/>
    <col min="9" max="9" width="11.85546875" style="119" bestFit="1" customWidth="1"/>
    <col min="10" max="14" width="9.140625" style="119"/>
    <col min="15" max="15" width="9.42578125" style="119" bestFit="1" customWidth="1"/>
    <col min="16" max="16" width="10.85546875" style="119" customWidth="1"/>
    <col min="17" max="17" width="2.7109375" style="119" customWidth="1"/>
    <col min="18" max="18" width="11.7109375" style="119" customWidth="1"/>
    <col min="19" max="19" width="12.5703125" style="119" bestFit="1" customWidth="1"/>
    <col min="20" max="20" width="11.28515625" style="119" bestFit="1" customWidth="1"/>
    <col min="21" max="16384" width="9.140625" style="119"/>
  </cols>
  <sheetData>
    <row r="1" spans="1:19">
      <c r="A1" s="119" t="str">
        <f>'CAP15'!A1</f>
        <v xml:space="preserve">Pro Forma Adjustment Calculation- WA </v>
      </c>
      <c r="D1" s="120"/>
      <c r="R1" s="120"/>
      <c r="S1" s="120"/>
    </row>
    <row r="2" spans="1:19">
      <c r="A2" s="119" t="str">
        <f>'CAP15'!A2</f>
        <v>Test Year Ended September 30, 2014 Ratebase Adjusted to 12/31/16 AMA</v>
      </c>
      <c r="D2" s="120"/>
      <c r="R2" s="120"/>
      <c r="S2" s="120"/>
    </row>
    <row r="3" spans="1:19">
      <c r="A3" s="156" t="s">
        <v>20</v>
      </c>
      <c r="B3" s="156"/>
      <c r="C3" s="157" t="s">
        <v>31</v>
      </c>
      <c r="D3" s="120"/>
      <c r="R3" s="120"/>
      <c r="S3" s="120"/>
    </row>
    <row r="4" spans="1:19">
      <c r="D4" s="120"/>
      <c r="R4" s="120"/>
      <c r="S4" s="158"/>
    </row>
    <row r="5" spans="1:19">
      <c r="C5" s="156">
        <v>1</v>
      </c>
      <c r="R5" s="120"/>
      <c r="S5" s="158"/>
    </row>
    <row r="6" spans="1:19">
      <c r="D6" s="120"/>
      <c r="R6" s="120"/>
      <c r="S6" s="158"/>
    </row>
    <row r="7" spans="1:19">
      <c r="D7" s="120"/>
      <c r="R7" s="120"/>
      <c r="S7" s="158"/>
    </row>
    <row r="8" spans="1:19" ht="15.75">
      <c r="A8" s="157">
        <v>1</v>
      </c>
      <c r="B8" s="157"/>
      <c r="C8" s="157">
        <v>2</v>
      </c>
      <c r="D8" s="158">
        <v>3</v>
      </c>
      <c r="E8" s="157">
        <v>4</v>
      </c>
      <c r="F8" s="157">
        <v>5</v>
      </c>
      <c r="G8" s="157">
        <v>6</v>
      </c>
      <c r="H8" s="157">
        <v>7</v>
      </c>
      <c r="I8" s="157">
        <v>8</v>
      </c>
      <c r="J8" s="157">
        <v>9</v>
      </c>
      <c r="K8" s="157">
        <v>10</v>
      </c>
      <c r="L8" s="157">
        <v>11</v>
      </c>
      <c r="M8" s="157">
        <v>12</v>
      </c>
      <c r="N8" s="157">
        <v>13</v>
      </c>
      <c r="O8" s="157">
        <v>14</v>
      </c>
      <c r="P8" s="157">
        <v>15</v>
      </c>
      <c r="Q8" s="157"/>
      <c r="R8" s="158">
        <v>16</v>
      </c>
      <c r="S8" s="159">
        <v>17</v>
      </c>
    </row>
    <row r="9" spans="1:19">
      <c r="A9" s="160"/>
      <c r="B9" s="160"/>
      <c r="C9" s="160"/>
      <c r="D9" s="161"/>
      <c r="R9" s="120"/>
      <c r="S9" s="120"/>
    </row>
    <row r="10" spans="1:19" ht="15.75">
      <c r="D10" s="120"/>
      <c r="R10" s="158"/>
      <c r="S10" s="159"/>
    </row>
    <row r="11" spans="1:19" s="163" customFormat="1" ht="15.75">
      <c r="A11" s="162" t="s">
        <v>6</v>
      </c>
      <c r="B11" s="162"/>
      <c r="D11" s="121"/>
      <c r="E11" s="164" t="s">
        <v>7</v>
      </c>
      <c r="F11" s="164" t="s">
        <v>8</v>
      </c>
      <c r="G11" s="164" t="s">
        <v>9</v>
      </c>
      <c r="H11" s="164" t="s">
        <v>10</v>
      </c>
      <c r="I11" s="164" t="s">
        <v>11</v>
      </c>
      <c r="J11" s="164" t="s">
        <v>12</v>
      </c>
      <c r="K11" s="164" t="s">
        <v>13</v>
      </c>
      <c r="L11" s="164" t="s">
        <v>14</v>
      </c>
      <c r="M11" s="164" t="s">
        <v>15</v>
      </c>
      <c r="N11" s="164" t="s">
        <v>16</v>
      </c>
      <c r="O11" s="164" t="s">
        <v>17</v>
      </c>
      <c r="P11" s="164" t="s">
        <v>18</v>
      </c>
      <c r="Q11" s="164"/>
      <c r="R11" s="165" t="s">
        <v>252</v>
      </c>
      <c r="S11" s="165" t="s">
        <v>89</v>
      </c>
    </row>
    <row r="12" spans="1:19" ht="15.75">
      <c r="C12" s="164"/>
      <c r="D12" s="120"/>
      <c r="R12" s="120"/>
      <c r="S12" s="120"/>
    </row>
    <row r="13" spans="1:19">
      <c r="D13" s="120"/>
      <c r="R13" s="120"/>
      <c r="S13" s="120"/>
    </row>
    <row r="14" spans="1:19">
      <c r="A14" s="166" t="s">
        <v>77</v>
      </c>
      <c r="B14" s="166"/>
      <c r="C14" s="157"/>
      <c r="D14" s="158">
        <f>$C$5</f>
        <v>1</v>
      </c>
      <c r="E14" s="167">
        <f>ROUND(CAP15.3!I201,0)*$D$14</f>
        <v>39891</v>
      </c>
      <c r="F14" s="167">
        <f>ROUND(CAP15.3!J201,0)*$D$14</f>
        <v>39891</v>
      </c>
      <c r="G14" s="167">
        <f>ROUND(CAP15.3!K201,0)*$D$14</f>
        <v>59837</v>
      </c>
      <c r="H14" s="167">
        <f>ROUND(CAP15.3!L201,0)*$D$14</f>
        <v>69810</v>
      </c>
      <c r="I14" s="167">
        <f>ROUND(CAP15.3!M201,0)*$D$14</f>
        <v>79783</v>
      </c>
      <c r="J14" s="167">
        <f>ROUND(CAP15.3!N201,0)*$D$14</f>
        <v>119674</v>
      </c>
      <c r="K14" s="167">
        <f>ROUND(CAP15.3!O201,0)*$D$14</f>
        <v>119674</v>
      </c>
      <c r="L14" s="167">
        <f>ROUND(CAP15.3!P201,0)*$D$14</f>
        <v>109701</v>
      </c>
      <c r="M14" s="167">
        <f>ROUND(CAP15.3!Q201,0)*$D$14</f>
        <v>109701</v>
      </c>
      <c r="N14" s="167">
        <f>ROUND(CAP15.3!R201,0)*$D$14</f>
        <v>89756</v>
      </c>
      <c r="O14" s="167">
        <f>ROUND(CAP15.3!S201,0)*$D$14</f>
        <v>79783</v>
      </c>
      <c r="P14" s="167">
        <f>ROUND(CAP15.3!T201,0)*$D$14</f>
        <v>1579784</v>
      </c>
      <c r="Q14" s="167"/>
      <c r="R14" s="168">
        <f>SUM(E14:P14)/1000</f>
        <v>2497.2849999999999</v>
      </c>
      <c r="S14" s="168">
        <f>SUM(E19:P19)/12</f>
        <v>507.12195833333334</v>
      </c>
    </row>
    <row r="15" spans="1:19">
      <c r="A15" s="169" t="s">
        <v>82</v>
      </c>
      <c r="B15" s="169"/>
      <c r="D15" s="120"/>
      <c r="R15" s="168"/>
      <c r="S15" s="168"/>
    </row>
    <row r="16" spans="1:19">
      <c r="A16" s="119" t="s">
        <v>78</v>
      </c>
      <c r="D16" s="120"/>
      <c r="E16" s="119">
        <v>0</v>
      </c>
      <c r="F16" s="170">
        <f>E18</f>
        <v>39.890999999999998</v>
      </c>
      <c r="G16" s="170">
        <f t="shared" ref="G16:P16" si="0">F18</f>
        <v>79.781999999999996</v>
      </c>
      <c r="H16" s="170">
        <f t="shared" si="0"/>
        <v>139.619</v>
      </c>
      <c r="I16" s="170">
        <f t="shared" si="0"/>
        <v>209.429</v>
      </c>
      <c r="J16" s="170">
        <f>I18</f>
        <v>289.21199999999999</v>
      </c>
      <c r="K16" s="170">
        <f>J18</f>
        <v>408.88599999999997</v>
      </c>
      <c r="L16" s="170">
        <f t="shared" si="0"/>
        <v>528.55999999999995</v>
      </c>
      <c r="M16" s="170">
        <f t="shared" si="0"/>
        <v>638.26099999999997</v>
      </c>
      <c r="N16" s="170">
        <f t="shared" si="0"/>
        <v>747.96199999999999</v>
      </c>
      <c r="O16" s="170">
        <f t="shared" si="0"/>
        <v>837.71799999999996</v>
      </c>
      <c r="P16" s="170">
        <f t="shared" si="0"/>
        <v>917.50099999999998</v>
      </c>
      <c r="Q16" s="170"/>
      <c r="R16" s="168"/>
      <c r="S16" s="168"/>
    </row>
    <row r="17" spans="1:19">
      <c r="A17" s="119" t="s">
        <v>79</v>
      </c>
      <c r="D17" s="120"/>
      <c r="E17" s="170">
        <f>E14/1000</f>
        <v>39.890999999999998</v>
      </c>
      <c r="F17" s="170">
        <f t="shared" ref="F17:P17" si="1">F14/1000</f>
        <v>39.890999999999998</v>
      </c>
      <c r="G17" s="170">
        <f t="shared" si="1"/>
        <v>59.837000000000003</v>
      </c>
      <c r="H17" s="170">
        <f t="shared" si="1"/>
        <v>69.81</v>
      </c>
      <c r="I17" s="170">
        <f t="shared" si="1"/>
        <v>79.783000000000001</v>
      </c>
      <c r="J17" s="170">
        <f t="shared" si="1"/>
        <v>119.67400000000001</v>
      </c>
      <c r="K17" s="170">
        <f t="shared" si="1"/>
        <v>119.67400000000001</v>
      </c>
      <c r="L17" s="170">
        <f t="shared" si="1"/>
        <v>109.70099999999999</v>
      </c>
      <c r="M17" s="170">
        <f t="shared" si="1"/>
        <v>109.70099999999999</v>
      </c>
      <c r="N17" s="170">
        <f t="shared" si="1"/>
        <v>89.756</v>
      </c>
      <c r="O17" s="170">
        <f t="shared" si="1"/>
        <v>79.783000000000001</v>
      </c>
      <c r="P17" s="170">
        <f t="shared" si="1"/>
        <v>1579.7840000000001</v>
      </c>
      <c r="Q17" s="170"/>
      <c r="R17" s="168"/>
      <c r="S17" s="168"/>
    </row>
    <row r="18" spans="1:19">
      <c r="A18" s="119" t="s">
        <v>80</v>
      </c>
      <c r="D18" s="120"/>
      <c r="E18" s="170">
        <f>E16+E17</f>
        <v>39.890999999999998</v>
      </c>
      <c r="F18" s="170">
        <f>F16+F17</f>
        <v>79.781999999999996</v>
      </c>
      <c r="G18" s="170">
        <f t="shared" ref="G18:P18" si="2">G16+G17</f>
        <v>139.619</v>
      </c>
      <c r="H18" s="170">
        <f t="shared" si="2"/>
        <v>209.429</v>
      </c>
      <c r="I18" s="170">
        <f t="shared" si="2"/>
        <v>289.21199999999999</v>
      </c>
      <c r="J18" s="170">
        <f t="shared" si="2"/>
        <v>408.88599999999997</v>
      </c>
      <c r="K18" s="170">
        <f t="shared" si="2"/>
        <v>528.55999999999995</v>
      </c>
      <c r="L18" s="170">
        <f t="shared" si="2"/>
        <v>638.26099999999997</v>
      </c>
      <c r="M18" s="170">
        <f t="shared" si="2"/>
        <v>747.96199999999999</v>
      </c>
      <c r="N18" s="170">
        <f t="shared" si="2"/>
        <v>837.71799999999996</v>
      </c>
      <c r="O18" s="170">
        <f t="shared" si="2"/>
        <v>917.50099999999998</v>
      </c>
      <c r="P18" s="170">
        <f t="shared" si="2"/>
        <v>2497.2849999999999</v>
      </c>
      <c r="Q18" s="170"/>
      <c r="R18" s="168"/>
      <c r="S18" s="168"/>
    </row>
    <row r="19" spans="1:19">
      <c r="A19" s="119" t="s">
        <v>81</v>
      </c>
      <c r="D19" s="120"/>
      <c r="E19" s="170">
        <f>(E16+E18)/2</f>
        <v>19.945499999999999</v>
      </c>
      <c r="F19" s="170">
        <f t="shared" ref="F19:P19" si="3">(F16+F18)/2</f>
        <v>59.836500000000001</v>
      </c>
      <c r="G19" s="170">
        <f t="shared" si="3"/>
        <v>109.70050000000001</v>
      </c>
      <c r="H19" s="170">
        <f t="shared" si="3"/>
        <v>174.524</v>
      </c>
      <c r="I19" s="170">
        <f t="shared" si="3"/>
        <v>249.32049999999998</v>
      </c>
      <c r="J19" s="170">
        <f t="shared" si="3"/>
        <v>349.04899999999998</v>
      </c>
      <c r="K19" s="170">
        <f t="shared" si="3"/>
        <v>468.72299999999996</v>
      </c>
      <c r="L19" s="170">
        <f t="shared" si="3"/>
        <v>583.41049999999996</v>
      </c>
      <c r="M19" s="170">
        <f t="shared" si="3"/>
        <v>693.11149999999998</v>
      </c>
      <c r="N19" s="170">
        <f t="shared" si="3"/>
        <v>792.83999999999992</v>
      </c>
      <c r="O19" s="170">
        <f t="shared" si="3"/>
        <v>877.60950000000003</v>
      </c>
      <c r="P19" s="170">
        <f t="shared" si="3"/>
        <v>1707.393</v>
      </c>
      <c r="Q19" s="170"/>
      <c r="R19" s="168"/>
      <c r="S19" s="168"/>
    </row>
    <row r="20" spans="1:19">
      <c r="D20" s="120"/>
      <c r="R20" s="168"/>
      <c r="S20" s="168"/>
    </row>
    <row r="21" spans="1:19">
      <c r="D21" s="120"/>
      <c r="R21" s="168"/>
      <c r="S21" s="168"/>
    </row>
    <row r="22" spans="1:19">
      <c r="A22" s="169" t="s">
        <v>19</v>
      </c>
      <c r="B22" s="136"/>
      <c r="D22" s="120">
        <f>$C$5</f>
        <v>1</v>
      </c>
      <c r="E22" s="167">
        <f>ROUND(CAP15.3!I175,0)*$D$22</f>
        <v>4606527</v>
      </c>
      <c r="F22" s="167">
        <f>ROUND(CAP15.3!J175,0)*$D$22</f>
        <v>902713</v>
      </c>
      <c r="G22" s="167">
        <f>ROUND(CAP15.3!K175,0)*$D$22</f>
        <v>1030276</v>
      </c>
      <c r="H22" s="167">
        <f>ROUND(CAP15.3!L175,0)*$D$22</f>
        <v>11515998</v>
      </c>
      <c r="I22" s="167">
        <f>ROUND(CAP15.3!M175,0)*$D$22</f>
        <v>25456919</v>
      </c>
      <c r="J22" s="167">
        <f>ROUND(CAP15.3!N175,0)*$D$22</f>
        <v>2496269</v>
      </c>
      <c r="K22" s="167">
        <f>ROUND(CAP15.3!O175,0)*$D$22</f>
        <v>970417</v>
      </c>
      <c r="L22" s="167">
        <f>ROUND(CAP15.3!P175,0)*$D$22</f>
        <v>949955</v>
      </c>
      <c r="M22" s="167">
        <f>ROUND(CAP15.3!Q175,0)*$D$22</f>
        <v>2095648</v>
      </c>
      <c r="N22" s="167">
        <f>ROUND(CAP15.3!R175,0)*$D$22</f>
        <v>1048850</v>
      </c>
      <c r="O22" s="167">
        <f>ROUND(CAP15.3!S175,0)*$D$22</f>
        <v>1240539</v>
      </c>
      <c r="P22" s="167">
        <f>ROUND(CAP15.3!T175,0)*$D$22</f>
        <v>57121600</v>
      </c>
      <c r="Q22" s="167"/>
      <c r="R22" s="168">
        <f>SUM(E22:P22)/1000</f>
        <v>109435.711</v>
      </c>
      <c r="S22" s="168">
        <f>SUM(E27:P27)/12</f>
        <v>35605.865458333334</v>
      </c>
    </row>
    <row r="23" spans="1:19">
      <c r="A23" s="169" t="s">
        <v>82</v>
      </c>
      <c r="B23" s="169"/>
      <c r="D23" s="120"/>
      <c r="R23" s="168"/>
      <c r="S23" s="168"/>
    </row>
    <row r="24" spans="1:19">
      <c r="A24" s="119" t="s">
        <v>78</v>
      </c>
      <c r="D24" s="120"/>
      <c r="E24" s="119">
        <v>0</v>
      </c>
      <c r="F24" s="170">
        <f>E26</f>
        <v>4606.527</v>
      </c>
      <c r="G24" s="170">
        <f t="shared" ref="G24:P24" si="4">F26</f>
        <v>5509.24</v>
      </c>
      <c r="H24" s="170">
        <f t="shared" si="4"/>
        <v>6539.5159999999996</v>
      </c>
      <c r="I24" s="170">
        <f t="shared" si="4"/>
        <v>18055.513999999999</v>
      </c>
      <c r="J24" s="170">
        <f t="shared" si="4"/>
        <v>43512.433000000005</v>
      </c>
      <c r="K24" s="170">
        <f t="shared" si="4"/>
        <v>46008.702000000005</v>
      </c>
      <c r="L24" s="170">
        <f t="shared" si="4"/>
        <v>46979.119000000006</v>
      </c>
      <c r="M24" s="170">
        <f t="shared" si="4"/>
        <v>47929.074000000008</v>
      </c>
      <c r="N24" s="170">
        <f t="shared" si="4"/>
        <v>50024.722000000009</v>
      </c>
      <c r="O24" s="170">
        <f t="shared" si="4"/>
        <v>51073.572000000007</v>
      </c>
      <c r="P24" s="170">
        <f t="shared" si="4"/>
        <v>52314.111000000004</v>
      </c>
      <c r="Q24" s="170"/>
      <c r="R24" s="168"/>
      <c r="S24" s="168"/>
    </row>
    <row r="25" spans="1:19">
      <c r="A25" s="119" t="s">
        <v>79</v>
      </c>
      <c r="D25" s="120"/>
      <c r="E25" s="170">
        <f>E22/1000</f>
        <v>4606.527</v>
      </c>
      <c r="F25" s="170">
        <f t="shared" ref="F25:P25" si="5">F22/1000</f>
        <v>902.71299999999997</v>
      </c>
      <c r="G25" s="170">
        <f t="shared" si="5"/>
        <v>1030.2760000000001</v>
      </c>
      <c r="H25" s="170">
        <f t="shared" si="5"/>
        <v>11515.998</v>
      </c>
      <c r="I25" s="170">
        <f t="shared" si="5"/>
        <v>25456.919000000002</v>
      </c>
      <c r="J25" s="170">
        <f>J22/1000</f>
        <v>2496.2689999999998</v>
      </c>
      <c r="K25" s="170">
        <f>K22/1000</f>
        <v>970.41700000000003</v>
      </c>
      <c r="L25" s="170">
        <f t="shared" si="5"/>
        <v>949.95500000000004</v>
      </c>
      <c r="M25" s="170">
        <f t="shared" si="5"/>
        <v>2095.6480000000001</v>
      </c>
      <c r="N25" s="170">
        <f t="shared" si="5"/>
        <v>1048.8499999999999</v>
      </c>
      <c r="O25" s="170">
        <f t="shared" si="5"/>
        <v>1240.539</v>
      </c>
      <c r="P25" s="170">
        <f t="shared" si="5"/>
        <v>57121.599999999999</v>
      </c>
      <c r="Q25" s="170"/>
      <c r="R25" s="168"/>
      <c r="S25" s="168"/>
    </row>
    <row r="26" spans="1:19">
      <c r="A26" s="119" t="s">
        <v>80</v>
      </c>
      <c r="E26" s="170">
        <f t="shared" ref="E26:P26" si="6">E24+E25</f>
        <v>4606.527</v>
      </c>
      <c r="F26" s="170">
        <f t="shared" si="6"/>
        <v>5509.24</v>
      </c>
      <c r="G26" s="170">
        <f t="shared" si="6"/>
        <v>6539.5159999999996</v>
      </c>
      <c r="H26" s="170">
        <f t="shared" si="6"/>
        <v>18055.513999999999</v>
      </c>
      <c r="I26" s="170">
        <f t="shared" si="6"/>
        <v>43512.433000000005</v>
      </c>
      <c r="J26" s="170">
        <f t="shared" si="6"/>
        <v>46008.702000000005</v>
      </c>
      <c r="K26" s="170">
        <f t="shared" si="6"/>
        <v>46979.119000000006</v>
      </c>
      <c r="L26" s="170">
        <f t="shared" si="6"/>
        <v>47929.074000000008</v>
      </c>
      <c r="M26" s="170">
        <f t="shared" si="6"/>
        <v>50024.722000000009</v>
      </c>
      <c r="N26" s="170">
        <f t="shared" si="6"/>
        <v>51073.572000000007</v>
      </c>
      <c r="O26" s="170">
        <f t="shared" si="6"/>
        <v>52314.111000000004</v>
      </c>
      <c r="P26" s="170">
        <f t="shared" si="6"/>
        <v>109435.71100000001</v>
      </c>
      <c r="Q26" s="170"/>
      <c r="R26" s="168"/>
      <c r="S26" s="168"/>
    </row>
    <row r="27" spans="1:19">
      <c r="A27" s="119" t="s">
        <v>81</v>
      </c>
      <c r="E27" s="170">
        <f>(E24+E26)/2</f>
        <v>2303.2635</v>
      </c>
      <c r="F27" s="170">
        <f t="shared" ref="F27:P27" si="7">(F24+F26)/2</f>
        <v>5057.8834999999999</v>
      </c>
      <c r="G27" s="170">
        <f t="shared" si="7"/>
        <v>6024.3779999999997</v>
      </c>
      <c r="H27" s="170">
        <f t="shared" si="7"/>
        <v>12297.514999999999</v>
      </c>
      <c r="I27" s="170">
        <f t="shared" si="7"/>
        <v>30783.9735</v>
      </c>
      <c r="J27" s="170">
        <f t="shared" si="7"/>
        <v>44760.567500000005</v>
      </c>
      <c r="K27" s="170">
        <f t="shared" si="7"/>
        <v>46493.910500000005</v>
      </c>
      <c r="L27" s="170">
        <f t="shared" si="7"/>
        <v>47454.096500000007</v>
      </c>
      <c r="M27" s="170">
        <f t="shared" si="7"/>
        <v>48976.898000000008</v>
      </c>
      <c r="N27" s="170">
        <f t="shared" si="7"/>
        <v>50549.147000000012</v>
      </c>
      <c r="O27" s="170">
        <f t="shared" si="7"/>
        <v>51693.84150000001</v>
      </c>
      <c r="P27" s="170">
        <f t="shared" si="7"/>
        <v>80874.911000000007</v>
      </c>
      <c r="Q27" s="170"/>
      <c r="R27" s="168"/>
      <c r="S27" s="168"/>
    </row>
    <row r="28" spans="1:19">
      <c r="R28" s="168"/>
      <c r="S28" s="168"/>
    </row>
    <row r="29" spans="1:19">
      <c r="R29" s="168"/>
      <c r="S29" s="168"/>
    </row>
    <row r="30" spans="1:19">
      <c r="A30" s="171" t="s">
        <v>83</v>
      </c>
      <c r="B30" s="171"/>
      <c r="C30" s="157"/>
      <c r="D30" s="157">
        <f>$C$5</f>
        <v>1</v>
      </c>
      <c r="E30" s="167">
        <f>ROUND(CAP15.3!I181,0)*$D$30</f>
        <v>0</v>
      </c>
      <c r="F30" s="167">
        <f>ROUND(CAP15.3!J181,0)*$D$30</f>
        <v>0</v>
      </c>
      <c r="G30" s="167">
        <f>ROUND(CAP15.3!K181,0)*$D$30</f>
        <v>0</v>
      </c>
      <c r="H30" s="167">
        <f>ROUND(CAP15.3!L181,0)*$D$30</f>
        <v>0</v>
      </c>
      <c r="I30" s="167">
        <f>ROUND(CAP15.3!M181,0)*$D$30</f>
        <v>0</v>
      </c>
      <c r="J30" s="167">
        <f>ROUND(CAP15.3!N181,0)*$D$30</f>
        <v>0</v>
      </c>
      <c r="K30" s="167">
        <f>ROUND(CAP15.3!O181,0)*$D$30</f>
        <v>2700000</v>
      </c>
      <c r="L30" s="167">
        <f>ROUND(CAP15.3!P181,0)*$D$30</f>
        <v>0</v>
      </c>
      <c r="M30" s="167">
        <f>ROUND(CAP15.3!Q181,0)*$D$30</f>
        <v>0</v>
      </c>
      <c r="N30" s="167">
        <f>ROUND(CAP15.3!R181,0)*$D$30</f>
        <v>0</v>
      </c>
      <c r="O30" s="167">
        <f>ROUND(CAP15.3!S181,0)*$D$30</f>
        <v>0</v>
      </c>
      <c r="P30" s="167">
        <f>ROUND(CAP15.3!T181,0)*$D$30</f>
        <v>0</v>
      </c>
      <c r="Q30" s="167"/>
      <c r="R30" s="168">
        <f>SUM(E30:P30)/1000</f>
        <v>2700</v>
      </c>
      <c r="S30" s="168">
        <f>SUM(E35:P35)/12</f>
        <v>1237.5</v>
      </c>
    </row>
    <row r="31" spans="1:19">
      <c r="A31" s="169" t="s">
        <v>82</v>
      </c>
      <c r="B31" s="169"/>
      <c r="R31" s="168"/>
      <c r="S31" s="168"/>
    </row>
    <row r="32" spans="1:19">
      <c r="A32" s="119" t="s">
        <v>78</v>
      </c>
      <c r="E32" s="119">
        <v>0</v>
      </c>
      <c r="F32" s="170">
        <f t="shared" ref="F32:P32" si="8">E34</f>
        <v>0</v>
      </c>
      <c r="G32" s="170">
        <f t="shared" si="8"/>
        <v>0</v>
      </c>
      <c r="H32" s="170">
        <f t="shared" si="8"/>
        <v>0</v>
      </c>
      <c r="I32" s="170">
        <f t="shared" si="8"/>
        <v>0</v>
      </c>
      <c r="J32" s="170">
        <f t="shared" si="8"/>
        <v>0</v>
      </c>
      <c r="K32" s="170">
        <f t="shared" si="8"/>
        <v>0</v>
      </c>
      <c r="L32" s="170">
        <f t="shared" si="8"/>
        <v>2700</v>
      </c>
      <c r="M32" s="170">
        <f t="shared" si="8"/>
        <v>2700</v>
      </c>
      <c r="N32" s="170">
        <f t="shared" si="8"/>
        <v>2700</v>
      </c>
      <c r="O32" s="170">
        <f t="shared" si="8"/>
        <v>2700</v>
      </c>
      <c r="P32" s="170">
        <f t="shared" si="8"/>
        <v>2700</v>
      </c>
      <c r="Q32" s="170"/>
      <c r="R32" s="168"/>
      <c r="S32" s="168"/>
    </row>
    <row r="33" spans="1:19">
      <c r="A33" s="119" t="s">
        <v>79</v>
      </c>
      <c r="E33" s="170">
        <f>E30/1000</f>
        <v>0</v>
      </c>
      <c r="F33" s="170">
        <f t="shared" ref="F33:P33" si="9">F30/1000</f>
        <v>0</v>
      </c>
      <c r="G33" s="170">
        <f t="shared" si="9"/>
        <v>0</v>
      </c>
      <c r="H33" s="170">
        <f t="shared" si="9"/>
        <v>0</v>
      </c>
      <c r="I33" s="170">
        <f t="shared" si="9"/>
        <v>0</v>
      </c>
      <c r="J33" s="170">
        <f t="shared" si="9"/>
        <v>0</v>
      </c>
      <c r="K33" s="170">
        <f t="shared" si="9"/>
        <v>2700</v>
      </c>
      <c r="L33" s="170">
        <f t="shared" si="9"/>
        <v>0</v>
      </c>
      <c r="M33" s="170">
        <f t="shared" si="9"/>
        <v>0</v>
      </c>
      <c r="N33" s="170">
        <f t="shared" si="9"/>
        <v>0</v>
      </c>
      <c r="O33" s="170">
        <f t="shared" si="9"/>
        <v>0</v>
      </c>
      <c r="P33" s="170">
        <f t="shared" si="9"/>
        <v>0</v>
      </c>
      <c r="Q33" s="170"/>
      <c r="R33" s="168"/>
      <c r="S33" s="168"/>
    </row>
    <row r="34" spans="1:19">
      <c r="A34" s="119" t="s">
        <v>80</v>
      </c>
      <c r="E34" s="170">
        <f t="shared" ref="E34:P34" si="10">E32+E33</f>
        <v>0</v>
      </c>
      <c r="F34" s="170">
        <f t="shared" si="10"/>
        <v>0</v>
      </c>
      <c r="G34" s="170">
        <f t="shared" si="10"/>
        <v>0</v>
      </c>
      <c r="H34" s="170">
        <f t="shared" si="10"/>
        <v>0</v>
      </c>
      <c r="I34" s="170">
        <f t="shared" si="10"/>
        <v>0</v>
      </c>
      <c r="J34" s="170">
        <f t="shared" si="10"/>
        <v>0</v>
      </c>
      <c r="K34" s="170">
        <f t="shared" si="10"/>
        <v>2700</v>
      </c>
      <c r="L34" s="170">
        <f t="shared" si="10"/>
        <v>2700</v>
      </c>
      <c r="M34" s="170">
        <f t="shared" si="10"/>
        <v>2700</v>
      </c>
      <c r="N34" s="170">
        <f t="shared" si="10"/>
        <v>2700</v>
      </c>
      <c r="O34" s="170">
        <f t="shared" si="10"/>
        <v>2700</v>
      </c>
      <c r="P34" s="170">
        <f t="shared" si="10"/>
        <v>2700</v>
      </c>
      <c r="Q34" s="170"/>
      <c r="R34" s="168"/>
      <c r="S34" s="168"/>
    </row>
    <row r="35" spans="1:19">
      <c r="A35" s="119" t="s">
        <v>81</v>
      </c>
      <c r="E35" s="170">
        <f t="shared" ref="E35:P35" si="11">(E32+E34)/2</f>
        <v>0</v>
      </c>
      <c r="F35" s="170">
        <f t="shared" si="11"/>
        <v>0</v>
      </c>
      <c r="G35" s="170">
        <f t="shared" si="11"/>
        <v>0</v>
      </c>
      <c r="H35" s="170">
        <f t="shared" si="11"/>
        <v>0</v>
      </c>
      <c r="I35" s="170">
        <f t="shared" si="11"/>
        <v>0</v>
      </c>
      <c r="J35" s="170">
        <f t="shared" si="11"/>
        <v>0</v>
      </c>
      <c r="K35" s="170">
        <f t="shared" si="11"/>
        <v>1350</v>
      </c>
      <c r="L35" s="170">
        <f t="shared" si="11"/>
        <v>2700</v>
      </c>
      <c r="M35" s="170">
        <f t="shared" si="11"/>
        <v>2700</v>
      </c>
      <c r="N35" s="170">
        <f t="shared" si="11"/>
        <v>2700</v>
      </c>
      <c r="O35" s="170">
        <f t="shared" si="11"/>
        <v>2700</v>
      </c>
      <c r="P35" s="170">
        <f t="shared" si="11"/>
        <v>2700</v>
      </c>
      <c r="Q35" s="170"/>
      <c r="R35" s="168"/>
      <c r="S35" s="168"/>
    </row>
    <row r="36" spans="1:19">
      <c r="R36" s="168"/>
      <c r="S36" s="168"/>
    </row>
    <row r="37" spans="1:19">
      <c r="R37" s="168"/>
      <c r="S37" s="168"/>
    </row>
    <row r="38" spans="1:19">
      <c r="A38" s="169" t="s">
        <v>304</v>
      </c>
      <c r="B38" s="169"/>
      <c r="D38" s="119">
        <f>$C$5</f>
        <v>1</v>
      </c>
      <c r="E38" s="172">
        <f>ROUND(CAP15.3!I87,0)*$D$38</f>
        <v>414802</v>
      </c>
      <c r="F38" s="172">
        <f>ROUND(CAP15.3!J87,0)*$D$38</f>
        <v>323347</v>
      </c>
      <c r="G38" s="172">
        <f>ROUND(CAP15.3!K87,0)*$D$38</f>
        <v>689613</v>
      </c>
      <c r="H38" s="172">
        <f>ROUND(CAP15.3!L87,0)*$D$38</f>
        <v>453016</v>
      </c>
      <c r="I38" s="172">
        <f>ROUND(CAP15.3!M87,0)*$D$38</f>
        <v>1616037</v>
      </c>
      <c r="J38" s="172">
        <f>ROUND(CAP15.3!N87,0)*$D$38</f>
        <v>581734</v>
      </c>
      <c r="K38" s="172">
        <f>ROUND(CAP15.3!O87,0)*$D$38</f>
        <v>497848</v>
      </c>
      <c r="L38" s="172">
        <f>ROUND(CAP15.3!P87,0)*$D$38</f>
        <v>536516</v>
      </c>
      <c r="M38" s="172">
        <f>ROUND(CAP15.3!Q87,0)*$D$38</f>
        <v>12336402</v>
      </c>
      <c r="N38" s="172">
        <f>ROUND(CAP15.3!R87,0)*$D$38</f>
        <v>1131916</v>
      </c>
      <c r="O38" s="172">
        <f>ROUND(CAP15.3!S87,0)*$D$38</f>
        <v>632078</v>
      </c>
      <c r="P38" s="172">
        <f>ROUND(CAP15.3!T87,0)*$D$38</f>
        <v>16524312</v>
      </c>
      <c r="Q38" s="172"/>
      <c r="R38" s="168">
        <f>SUM(E38:P38)/1000</f>
        <v>35737.620999999999</v>
      </c>
      <c r="S38" s="168">
        <f>SUM(E43:P43)/12</f>
        <v>7903.2358750000012</v>
      </c>
    </row>
    <row r="39" spans="1:19">
      <c r="A39" s="169" t="s">
        <v>82</v>
      </c>
      <c r="B39" s="169"/>
      <c r="R39" s="168"/>
      <c r="S39" s="168"/>
    </row>
    <row r="40" spans="1:19">
      <c r="A40" s="119" t="s">
        <v>78</v>
      </c>
      <c r="E40" s="119">
        <v>0</v>
      </c>
      <c r="F40" s="170">
        <f t="shared" ref="F40:P40" si="12">E42</f>
        <v>414.80200000000002</v>
      </c>
      <c r="G40" s="170">
        <f t="shared" si="12"/>
        <v>738.149</v>
      </c>
      <c r="H40" s="170">
        <f t="shared" si="12"/>
        <v>1427.7620000000002</v>
      </c>
      <c r="I40" s="170">
        <f t="shared" si="12"/>
        <v>1880.7780000000002</v>
      </c>
      <c r="J40" s="170">
        <f t="shared" si="12"/>
        <v>3496.8150000000005</v>
      </c>
      <c r="K40" s="170">
        <f t="shared" si="12"/>
        <v>4078.5490000000004</v>
      </c>
      <c r="L40" s="170">
        <f t="shared" si="12"/>
        <v>4576.3970000000008</v>
      </c>
      <c r="M40" s="170">
        <f t="shared" si="12"/>
        <v>5112.9130000000005</v>
      </c>
      <c r="N40" s="170">
        <f t="shared" si="12"/>
        <v>17449.315000000002</v>
      </c>
      <c r="O40" s="170">
        <f t="shared" si="12"/>
        <v>18581.231000000003</v>
      </c>
      <c r="P40" s="170">
        <f t="shared" si="12"/>
        <v>19213.309000000005</v>
      </c>
      <c r="Q40" s="170"/>
      <c r="R40" s="168"/>
      <c r="S40" s="168"/>
    </row>
    <row r="41" spans="1:19">
      <c r="A41" s="119" t="s">
        <v>79</v>
      </c>
      <c r="E41" s="170">
        <f>E38/1000</f>
        <v>414.80200000000002</v>
      </c>
      <c r="F41" s="170">
        <f t="shared" ref="F41:P41" si="13">F38/1000</f>
        <v>323.34699999999998</v>
      </c>
      <c r="G41" s="170">
        <f t="shared" si="13"/>
        <v>689.61300000000006</v>
      </c>
      <c r="H41" s="170">
        <f t="shared" si="13"/>
        <v>453.01600000000002</v>
      </c>
      <c r="I41" s="170">
        <f t="shared" si="13"/>
        <v>1616.037</v>
      </c>
      <c r="J41" s="170">
        <f t="shared" si="13"/>
        <v>581.73400000000004</v>
      </c>
      <c r="K41" s="170">
        <f t="shared" si="13"/>
        <v>497.84800000000001</v>
      </c>
      <c r="L41" s="170">
        <f t="shared" si="13"/>
        <v>536.51599999999996</v>
      </c>
      <c r="M41" s="170">
        <f t="shared" si="13"/>
        <v>12336.402</v>
      </c>
      <c r="N41" s="170">
        <f t="shared" si="13"/>
        <v>1131.9159999999999</v>
      </c>
      <c r="O41" s="170">
        <f t="shared" si="13"/>
        <v>632.07799999999997</v>
      </c>
      <c r="P41" s="170">
        <f t="shared" si="13"/>
        <v>16524.312000000002</v>
      </c>
      <c r="Q41" s="170"/>
      <c r="R41" s="168"/>
      <c r="S41" s="168"/>
    </row>
    <row r="42" spans="1:19">
      <c r="A42" s="119" t="s">
        <v>80</v>
      </c>
      <c r="E42" s="170">
        <f t="shared" ref="E42:P42" si="14">E40+E41</f>
        <v>414.80200000000002</v>
      </c>
      <c r="F42" s="170">
        <f t="shared" si="14"/>
        <v>738.149</v>
      </c>
      <c r="G42" s="170">
        <f t="shared" si="14"/>
        <v>1427.7620000000002</v>
      </c>
      <c r="H42" s="170">
        <f t="shared" si="14"/>
        <v>1880.7780000000002</v>
      </c>
      <c r="I42" s="170">
        <f t="shared" si="14"/>
        <v>3496.8150000000005</v>
      </c>
      <c r="J42" s="170">
        <f t="shared" si="14"/>
        <v>4078.5490000000004</v>
      </c>
      <c r="K42" s="170">
        <f t="shared" si="14"/>
        <v>4576.3970000000008</v>
      </c>
      <c r="L42" s="170">
        <f t="shared" si="14"/>
        <v>5112.9130000000005</v>
      </c>
      <c r="M42" s="170">
        <f t="shared" si="14"/>
        <v>17449.315000000002</v>
      </c>
      <c r="N42" s="170">
        <f t="shared" si="14"/>
        <v>18581.231000000003</v>
      </c>
      <c r="O42" s="170">
        <f t="shared" si="14"/>
        <v>19213.309000000005</v>
      </c>
      <c r="P42" s="170">
        <f t="shared" si="14"/>
        <v>35737.621000000006</v>
      </c>
      <c r="Q42" s="170"/>
      <c r="R42" s="168"/>
      <c r="S42" s="168"/>
    </row>
    <row r="43" spans="1:19">
      <c r="A43" s="119" t="s">
        <v>81</v>
      </c>
      <c r="E43" s="170">
        <f t="shared" ref="E43:P43" si="15">(E40+E42)/2</f>
        <v>207.40100000000001</v>
      </c>
      <c r="F43" s="170">
        <f t="shared" si="15"/>
        <v>576.47550000000001</v>
      </c>
      <c r="G43" s="170">
        <f t="shared" si="15"/>
        <v>1082.9555</v>
      </c>
      <c r="H43" s="170">
        <f t="shared" si="15"/>
        <v>1654.2700000000002</v>
      </c>
      <c r="I43" s="170">
        <f t="shared" si="15"/>
        <v>2688.7965000000004</v>
      </c>
      <c r="J43" s="170">
        <f t="shared" si="15"/>
        <v>3787.6820000000007</v>
      </c>
      <c r="K43" s="170">
        <f t="shared" si="15"/>
        <v>4327.4730000000009</v>
      </c>
      <c r="L43" s="170">
        <f t="shared" si="15"/>
        <v>4844.6550000000007</v>
      </c>
      <c r="M43" s="170">
        <f t="shared" si="15"/>
        <v>11281.114000000001</v>
      </c>
      <c r="N43" s="170">
        <f t="shared" si="15"/>
        <v>18015.273000000001</v>
      </c>
      <c r="O43" s="170">
        <f t="shared" si="15"/>
        <v>18897.270000000004</v>
      </c>
      <c r="P43" s="170">
        <f t="shared" si="15"/>
        <v>27475.465000000004</v>
      </c>
      <c r="Q43" s="170"/>
      <c r="R43" s="168"/>
      <c r="S43" s="168"/>
    </row>
    <row r="44" spans="1:19">
      <c r="R44" s="168"/>
      <c r="S44" s="168"/>
    </row>
    <row r="45" spans="1:19">
      <c r="A45" s="169" t="s">
        <v>305</v>
      </c>
      <c r="B45" s="169"/>
      <c r="D45" s="119">
        <f>$C$5</f>
        <v>1</v>
      </c>
      <c r="E45" s="172">
        <f>ROUND(CAP15.3!I90,0)*$D$38</f>
        <v>0</v>
      </c>
      <c r="F45" s="172">
        <f>ROUND(CAP15.3!J90,0)*$D$38</f>
        <v>0</v>
      </c>
      <c r="G45" s="172">
        <f>ROUND(CAP15.3!K90,0)*$D$38</f>
        <v>0</v>
      </c>
      <c r="H45" s="172">
        <f>ROUND(CAP15.3!L90,0)*$D$38</f>
        <v>0</v>
      </c>
      <c r="I45" s="172">
        <f>ROUND(CAP15.3!M90,0)*$D$38</f>
        <v>0</v>
      </c>
      <c r="J45" s="172">
        <f>ROUND(CAP15.3!N90,0)*$D$38</f>
        <v>0</v>
      </c>
      <c r="K45" s="172">
        <f>ROUND(CAP15.3!O90,0)*$D$38</f>
        <v>0</v>
      </c>
      <c r="L45" s="172">
        <f>ROUND(CAP15.3!P90,0)*$D$38</f>
        <v>0</v>
      </c>
      <c r="M45" s="172">
        <f>ROUND(CAP15.3!Q90,0)*$D$38</f>
        <v>0</v>
      </c>
      <c r="N45" s="172">
        <f>ROUND(CAP15.3!R90,0)*$D$38</f>
        <v>0</v>
      </c>
      <c r="O45" s="172">
        <f>ROUND(CAP15.3!S90,0)*$D$38</f>
        <v>0</v>
      </c>
      <c r="P45" s="172">
        <f>ROUND(CAP15.3!T90,0)*$D$38</f>
        <v>0</v>
      </c>
      <c r="Q45" s="172"/>
      <c r="R45" s="168">
        <f>SUM(E45:P45)/1000</f>
        <v>0</v>
      </c>
      <c r="S45" s="168">
        <f>SUM(E50:P50)/12</f>
        <v>0</v>
      </c>
    </row>
    <row r="46" spans="1:19">
      <c r="A46" s="169" t="s">
        <v>82</v>
      </c>
      <c r="B46" s="169"/>
      <c r="R46" s="168"/>
      <c r="S46" s="168"/>
    </row>
    <row r="47" spans="1:19">
      <c r="A47" s="119" t="s">
        <v>78</v>
      </c>
      <c r="E47" s="119">
        <v>0</v>
      </c>
      <c r="F47" s="170">
        <f t="shared" ref="F47" si="16">E49</f>
        <v>0</v>
      </c>
      <c r="G47" s="170">
        <f t="shared" ref="G47" si="17">F49</f>
        <v>0</v>
      </c>
      <c r="H47" s="170">
        <f t="shared" ref="H47" si="18">G49</f>
        <v>0</v>
      </c>
      <c r="I47" s="170">
        <f t="shared" ref="I47" si="19">H49</f>
        <v>0</v>
      </c>
      <c r="J47" s="170">
        <f t="shared" ref="J47" si="20">I49</f>
        <v>0</v>
      </c>
      <c r="K47" s="170">
        <f t="shared" ref="K47" si="21">J49</f>
        <v>0</v>
      </c>
      <c r="L47" s="170">
        <f t="shared" ref="L47" si="22">K49</f>
        <v>0</v>
      </c>
      <c r="M47" s="170">
        <f t="shared" ref="M47" si="23">L49</f>
        <v>0</v>
      </c>
      <c r="N47" s="170">
        <f t="shared" ref="N47" si="24">M49</f>
        <v>0</v>
      </c>
      <c r="O47" s="170">
        <f t="shared" ref="O47" si="25">N49</f>
        <v>0</v>
      </c>
      <c r="P47" s="170">
        <f t="shared" ref="P47" si="26">O49</f>
        <v>0</v>
      </c>
      <c r="Q47" s="170"/>
      <c r="R47" s="168"/>
      <c r="S47" s="168"/>
    </row>
    <row r="48" spans="1:19">
      <c r="A48" s="119" t="s">
        <v>79</v>
      </c>
      <c r="E48" s="170">
        <f>E45/1000</f>
        <v>0</v>
      </c>
      <c r="F48" s="170">
        <f t="shared" ref="F48:P48" si="27">F45/1000</f>
        <v>0</v>
      </c>
      <c r="G48" s="170">
        <f t="shared" si="27"/>
        <v>0</v>
      </c>
      <c r="H48" s="170">
        <f t="shared" si="27"/>
        <v>0</v>
      </c>
      <c r="I48" s="170">
        <f t="shared" si="27"/>
        <v>0</v>
      </c>
      <c r="J48" s="170">
        <f t="shared" si="27"/>
        <v>0</v>
      </c>
      <c r="K48" s="170">
        <f t="shared" si="27"/>
        <v>0</v>
      </c>
      <c r="L48" s="170">
        <f t="shared" si="27"/>
        <v>0</v>
      </c>
      <c r="M48" s="170">
        <f t="shared" si="27"/>
        <v>0</v>
      </c>
      <c r="N48" s="170">
        <f t="shared" si="27"/>
        <v>0</v>
      </c>
      <c r="O48" s="170">
        <f t="shared" si="27"/>
        <v>0</v>
      </c>
      <c r="P48" s="170">
        <f t="shared" si="27"/>
        <v>0</v>
      </c>
      <c r="Q48" s="170"/>
      <c r="R48" s="168"/>
      <c r="S48" s="168"/>
    </row>
    <row r="49" spans="1:19">
      <c r="A49" s="119" t="s">
        <v>80</v>
      </c>
      <c r="E49" s="170">
        <f t="shared" ref="E49:P49" si="28">E47+E48</f>
        <v>0</v>
      </c>
      <c r="F49" s="170">
        <f t="shared" si="28"/>
        <v>0</v>
      </c>
      <c r="G49" s="170">
        <f t="shared" si="28"/>
        <v>0</v>
      </c>
      <c r="H49" s="170">
        <f t="shared" si="28"/>
        <v>0</v>
      </c>
      <c r="I49" s="170">
        <f t="shared" si="28"/>
        <v>0</v>
      </c>
      <c r="J49" s="170">
        <f t="shared" si="28"/>
        <v>0</v>
      </c>
      <c r="K49" s="170">
        <f t="shared" si="28"/>
        <v>0</v>
      </c>
      <c r="L49" s="170">
        <f t="shared" si="28"/>
        <v>0</v>
      </c>
      <c r="M49" s="170">
        <f t="shared" si="28"/>
        <v>0</v>
      </c>
      <c r="N49" s="170">
        <f t="shared" si="28"/>
        <v>0</v>
      </c>
      <c r="O49" s="170">
        <f t="shared" si="28"/>
        <v>0</v>
      </c>
      <c r="P49" s="170">
        <f t="shared" si="28"/>
        <v>0</v>
      </c>
      <c r="Q49" s="170"/>
      <c r="R49" s="168"/>
      <c r="S49" s="168"/>
    </row>
    <row r="50" spans="1:19">
      <c r="A50" s="119" t="s">
        <v>81</v>
      </c>
      <c r="E50" s="170">
        <f t="shared" ref="E50:P50" si="29">(E47+E49)/2</f>
        <v>0</v>
      </c>
      <c r="F50" s="170">
        <f t="shared" si="29"/>
        <v>0</v>
      </c>
      <c r="G50" s="170">
        <f t="shared" si="29"/>
        <v>0</v>
      </c>
      <c r="H50" s="170">
        <f t="shared" si="29"/>
        <v>0</v>
      </c>
      <c r="I50" s="170">
        <f t="shared" si="29"/>
        <v>0</v>
      </c>
      <c r="J50" s="170">
        <f t="shared" si="29"/>
        <v>0</v>
      </c>
      <c r="K50" s="170">
        <f t="shared" si="29"/>
        <v>0</v>
      </c>
      <c r="L50" s="170">
        <f t="shared" si="29"/>
        <v>0</v>
      </c>
      <c r="M50" s="170">
        <f t="shared" si="29"/>
        <v>0</v>
      </c>
      <c r="N50" s="170">
        <f t="shared" si="29"/>
        <v>0</v>
      </c>
      <c r="O50" s="170">
        <f t="shared" si="29"/>
        <v>0</v>
      </c>
      <c r="P50" s="170">
        <f t="shared" si="29"/>
        <v>0</v>
      </c>
      <c r="Q50" s="170"/>
      <c r="R50" s="168"/>
      <c r="S50" s="168"/>
    </row>
    <row r="51" spans="1:19">
      <c r="R51" s="168"/>
      <c r="S51" s="168"/>
    </row>
    <row r="52" spans="1:19">
      <c r="A52" s="169" t="s">
        <v>306</v>
      </c>
      <c r="B52" s="169"/>
      <c r="D52" s="119">
        <f>$C$5</f>
        <v>1</v>
      </c>
      <c r="E52" s="172">
        <f>ROUND(CAP15.3!I96,0)*$D$38</f>
        <v>0</v>
      </c>
      <c r="F52" s="172">
        <f>ROUND(CAP15.3!J96,0)*$D$38</f>
        <v>0</v>
      </c>
      <c r="G52" s="172">
        <f>ROUND(CAP15.3!K96,0)*$D$38</f>
        <v>0</v>
      </c>
      <c r="H52" s="172">
        <f>ROUND(CAP15.3!L96,0)*$D$38</f>
        <v>0</v>
      </c>
      <c r="I52" s="172">
        <f>ROUND(CAP15.3!M96,0)*$D$38</f>
        <v>0</v>
      </c>
      <c r="J52" s="172">
        <f>ROUND(CAP15.3!N96,0)*$D$38</f>
        <v>0</v>
      </c>
      <c r="K52" s="172">
        <f>ROUND(CAP15.3!O96,0)*$D$38</f>
        <v>0</v>
      </c>
      <c r="L52" s="172">
        <f>ROUND(CAP15.3!P96,0)*$D$38</f>
        <v>0</v>
      </c>
      <c r="M52" s="172">
        <f>ROUND(CAP15.3!Q96,0)*$D$38</f>
        <v>0</v>
      </c>
      <c r="N52" s="172">
        <f>ROUND(CAP15.3!R96,0)*$D$38</f>
        <v>0</v>
      </c>
      <c r="O52" s="172">
        <f>ROUND(CAP15.3!S96,0)*$D$38</f>
        <v>2300000</v>
      </c>
      <c r="P52" s="172">
        <f>ROUND(CAP15.3!T96,0)*$D$38</f>
        <v>874998</v>
      </c>
      <c r="Q52" s="172"/>
      <c r="R52" s="168">
        <f>SUM(E52:P52)/1000</f>
        <v>3174.998</v>
      </c>
      <c r="S52" s="168">
        <f>SUM(E57:P57)/12</f>
        <v>323.95824999999996</v>
      </c>
    </row>
    <row r="53" spans="1:19">
      <c r="A53" s="169" t="s">
        <v>82</v>
      </c>
      <c r="B53" s="169"/>
      <c r="R53" s="168"/>
      <c r="S53" s="168"/>
    </row>
    <row r="54" spans="1:19">
      <c r="A54" s="119" t="s">
        <v>78</v>
      </c>
      <c r="E54" s="119">
        <v>0</v>
      </c>
      <c r="F54" s="170">
        <f t="shared" ref="F54" si="30">E56</f>
        <v>0</v>
      </c>
      <c r="G54" s="170">
        <f t="shared" ref="G54" si="31">F56</f>
        <v>0</v>
      </c>
      <c r="H54" s="170">
        <f t="shared" ref="H54" si="32">G56</f>
        <v>0</v>
      </c>
      <c r="I54" s="170">
        <f t="shared" ref="I54" si="33">H56</f>
        <v>0</v>
      </c>
      <c r="J54" s="170">
        <f t="shared" ref="J54" si="34">I56</f>
        <v>0</v>
      </c>
      <c r="K54" s="170">
        <f t="shared" ref="K54" si="35">J56</f>
        <v>0</v>
      </c>
      <c r="L54" s="170">
        <f t="shared" ref="L54" si="36">K56</f>
        <v>0</v>
      </c>
      <c r="M54" s="170">
        <f t="shared" ref="M54" si="37">L56</f>
        <v>0</v>
      </c>
      <c r="N54" s="170">
        <f t="shared" ref="N54" si="38">M56</f>
        <v>0</v>
      </c>
      <c r="O54" s="170">
        <f t="shared" ref="O54" si="39">N56</f>
        <v>0</v>
      </c>
      <c r="P54" s="170">
        <f t="shared" ref="P54" si="40">O56</f>
        <v>2300</v>
      </c>
      <c r="Q54" s="170"/>
      <c r="R54" s="168"/>
      <c r="S54" s="168"/>
    </row>
    <row r="55" spans="1:19">
      <c r="A55" s="119" t="s">
        <v>79</v>
      </c>
      <c r="E55" s="170">
        <f>E52/1000</f>
        <v>0</v>
      </c>
      <c r="F55" s="170">
        <f t="shared" ref="F55:P55" si="41">F52/1000</f>
        <v>0</v>
      </c>
      <c r="G55" s="170">
        <f t="shared" si="41"/>
        <v>0</v>
      </c>
      <c r="H55" s="170">
        <f t="shared" si="41"/>
        <v>0</v>
      </c>
      <c r="I55" s="170">
        <f t="shared" si="41"/>
        <v>0</v>
      </c>
      <c r="J55" s="170">
        <f t="shared" si="41"/>
        <v>0</v>
      </c>
      <c r="K55" s="170">
        <f t="shared" si="41"/>
        <v>0</v>
      </c>
      <c r="L55" s="170">
        <f t="shared" si="41"/>
        <v>0</v>
      </c>
      <c r="M55" s="170">
        <f t="shared" si="41"/>
        <v>0</v>
      </c>
      <c r="N55" s="170">
        <f t="shared" si="41"/>
        <v>0</v>
      </c>
      <c r="O55" s="170">
        <f t="shared" si="41"/>
        <v>2300</v>
      </c>
      <c r="P55" s="170">
        <f t="shared" si="41"/>
        <v>874.99800000000005</v>
      </c>
      <c r="Q55" s="170"/>
      <c r="R55" s="168"/>
      <c r="S55" s="168"/>
    </row>
    <row r="56" spans="1:19">
      <c r="A56" s="119" t="s">
        <v>80</v>
      </c>
      <c r="E56" s="170">
        <f t="shared" ref="E56:P56" si="42">E54+E55</f>
        <v>0</v>
      </c>
      <c r="F56" s="170">
        <f t="shared" si="42"/>
        <v>0</v>
      </c>
      <c r="G56" s="170">
        <f t="shared" si="42"/>
        <v>0</v>
      </c>
      <c r="H56" s="170">
        <f t="shared" si="42"/>
        <v>0</v>
      </c>
      <c r="I56" s="170">
        <f t="shared" si="42"/>
        <v>0</v>
      </c>
      <c r="J56" s="170">
        <f t="shared" si="42"/>
        <v>0</v>
      </c>
      <c r="K56" s="170">
        <f t="shared" si="42"/>
        <v>0</v>
      </c>
      <c r="L56" s="170">
        <f t="shared" si="42"/>
        <v>0</v>
      </c>
      <c r="M56" s="170">
        <f t="shared" si="42"/>
        <v>0</v>
      </c>
      <c r="N56" s="170">
        <f t="shared" si="42"/>
        <v>0</v>
      </c>
      <c r="O56" s="170">
        <f t="shared" si="42"/>
        <v>2300</v>
      </c>
      <c r="P56" s="170">
        <f t="shared" si="42"/>
        <v>3174.998</v>
      </c>
      <c r="Q56" s="170"/>
      <c r="R56" s="168"/>
      <c r="S56" s="168"/>
    </row>
    <row r="57" spans="1:19">
      <c r="A57" s="119" t="s">
        <v>81</v>
      </c>
      <c r="E57" s="170">
        <f t="shared" ref="E57:P57" si="43">(E54+E56)/2</f>
        <v>0</v>
      </c>
      <c r="F57" s="170">
        <f t="shared" si="43"/>
        <v>0</v>
      </c>
      <c r="G57" s="170">
        <f t="shared" si="43"/>
        <v>0</v>
      </c>
      <c r="H57" s="170">
        <f t="shared" si="43"/>
        <v>0</v>
      </c>
      <c r="I57" s="170">
        <f t="shared" si="43"/>
        <v>0</v>
      </c>
      <c r="J57" s="170">
        <f t="shared" si="43"/>
        <v>0</v>
      </c>
      <c r="K57" s="170">
        <f t="shared" si="43"/>
        <v>0</v>
      </c>
      <c r="L57" s="170">
        <f t="shared" si="43"/>
        <v>0</v>
      </c>
      <c r="M57" s="170">
        <f t="shared" si="43"/>
        <v>0</v>
      </c>
      <c r="N57" s="170">
        <f t="shared" si="43"/>
        <v>0</v>
      </c>
      <c r="O57" s="170">
        <f t="shared" si="43"/>
        <v>1150</v>
      </c>
      <c r="P57" s="170">
        <f t="shared" si="43"/>
        <v>2737.4989999999998</v>
      </c>
      <c r="Q57" s="170"/>
      <c r="R57" s="168"/>
      <c r="S57" s="168"/>
    </row>
    <row r="58" spans="1:19">
      <c r="R58" s="168"/>
      <c r="S58" s="168"/>
    </row>
    <row r="59" spans="1:19">
      <c r="R59" s="168"/>
      <c r="S59" s="168"/>
    </row>
    <row r="60" spans="1:19">
      <c r="A60" s="169" t="s">
        <v>94</v>
      </c>
      <c r="B60" s="169"/>
      <c r="D60" s="119">
        <f>$C$5</f>
        <v>1</v>
      </c>
      <c r="E60" s="172">
        <f>ROUND(CAP15.3!I56,0)*$D$60</f>
        <v>267299</v>
      </c>
      <c r="F60" s="172">
        <f>ROUND(CAP15.3!J56,0)*$D$60</f>
        <v>267299</v>
      </c>
      <c r="G60" s="172">
        <f>ROUND(CAP15.3!K56,0)*$D$60</f>
        <v>283557</v>
      </c>
      <c r="H60" s="172">
        <f>ROUND(CAP15.3!L56,0)*$D$60</f>
        <v>283554</v>
      </c>
      <c r="I60" s="172">
        <f>ROUND(CAP15.3!M56,0)*$D$60</f>
        <v>283554</v>
      </c>
      <c r="J60" s="172">
        <f>ROUND(CAP15.3!N56,0)*$D$60</f>
        <v>2183557</v>
      </c>
      <c r="K60" s="172">
        <f>ROUND(CAP15.3!O56,0)*$D$60</f>
        <v>1114824</v>
      </c>
      <c r="L60" s="172">
        <f>ROUND(CAP15.3!P56,0)*$D$60</f>
        <v>364824</v>
      </c>
      <c r="M60" s="172">
        <f>ROUND(CAP15.3!Q56,0)*$D$60</f>
        <v>1239827</v>
      </c>
      <c r="N60" s="172">
        <f>ROUND(CAP15.3!R56,0)*$D$60</f>
        <v>1472624</v>
      </c>
      <c r="O60" s="172">
        <f>ROUND(CAP15.3!S56,0)*$D$60</f>
        <v>399099</v>
      </c>
      <c r="P60" s="172">
        <f>ROUND(CAP15.3!T56,0)*$D$60</f>
        <v>2696968</v>
      </c>
      <c r="Q60" s="172"/>
      <c r="R60" s="168">
        <f>SUM(E60:P60)/1000</f>
        <v>10856.986000000001</v>
      </c>
      <c r="S60" s="168">
        <f>SUM(E65:P65)/12</f>
        <v>3753.8067499999997</v>
      </c>
    </row>
    <row r="61" spans="1:19">
      <c r="A61" s="169" t="s">
        <v>82</v>
      </c>
      <c r="B61" s="169"/>
      <c r="R61" s="168"/>
      <c r="S61" s="168"/>
    </row>
    <row r="62" spans="1:19">
      <c r="A62" s="119" t="s">
        <v>78</v>
      </c>
      <c r="E62" s="119">
        <v>0</v>
      </c>
      <c r="F62" s="170">
        <f t="shared" ref="F62:P62" si="44">E64</f>
        <v>267.29899999999998</v>
      </c>
      <c r="G62" s="170">
        <f t="shared" si="44"/>
        <v>534.59799999999996</v>
      </c>
      <c r="H62" s="170">
        <f t="shared" si="44"/>
        <v>818.15499999999997</v>
      </c>
      <c r="I62" s="170">
        <f t="shared" si="44"/>
        <v>1101.7089999999998</v>
      </c>
      <c r="J62" s="170">
        <f t="shared" si="44"/>
        <v>1385.2629999999999</v>
      </c>
      <c r="K62" s="170">
        <f t="shared" si="44"/>
        <v>3568.8199999999997</v>
      </c>
      <c r="L62" s="170">
        <f t="shared" si="44"/>
        <v>4683.6440000000002</v>
      </c>
      <c r="M62" s="170">
        <f t="shared" si="44"/>
        <v>5048.4679999999998</v>
      </c>
      <c r="N62" s="170">
        <f t="shared" si="44"/>
        <v>6288.2950000000001</v>
      </c>
      <c r="O62" s="170">
        <f t="shared" si="44"/>
        <v>7760.9189999999999</v>
      </c>
      <c r="P62" s="170">
        <f t="shared" si="44"/>
        <v>8160.018</v>
      </c>
      <c r="Q62" s="170"/>
      <c r="R62" s="168"/>
      <c r="S62" s="168"/>
    </row>
    <row r="63" spans="1:19">
      <c r="A63" s="119" t="s">
        <v>79</v>
      </c>
      <c r="E63" s="170">
        <f>E60/1000</f>
        <v>267.29899999999998</v>
      </c>
      <c r="F63" s="170">
        <f t="shared" ref="F63:P63" si="45">F60/1000</f>
        <v>267.29899999999998</v>
      </c>
      <c r="G63" s="170">
        <f t="shared" si="45"/>
        <v>283.55700000000002</v>
      </c>
      <c r="H63" s="170">
        <f t="shared" si="45"/>
        <v>283.55399999999997</v>
      </c>
      <c r="I63" s="170">
        <f t="shared" si="45"/>
        <v>283.55399999999997</v>
      </c>
      <c r="J63" s="170">
        <f t="shared" si="45"/>
        <v>2183.5569999999998</v>
      </c>
      <c r="K63" s="170">
        <f t="shared" si="45"/>
        <v>1114.8240000000001</v>
      </c>
      <c r="L63" s="170">
        <f t="shared" si="45"/>
        <v>364.82400000000001</v>
      </c>
      <c r="M63" s="170">
        <f t="shared" si="45"/>
        <v>1239.827</v>
      </c>
      <c r="N63" s="170">
        <f t="shared" si="45"/>
        <v>1472.624</v>
      </c>
      <c r="O63" s="170">
        <f t="shared" si="45"/>
        <v>399.09899999999999</v>
      </c>
      <c r="P63" s="170">
        <f t="shared" si="45"/>
        <v>2696.9679999999998</v>
      </c>
      <c r="Q63" s="170"/>
      <c r="R63" s="168"/>
      <c r="S63" s="168"/>
    </row>
    <row r="64" spans="1:19">
      <c r="A64" s="119" t="s">
        <v>80</v>
      </c>
      <c r="E64" s="170">
        <f t="shared" ref="E64:P64" si="46">E62+E63</f>
        <v>267.29899999999998</v>
      </c>
      <c r="F64" s="170">
        <f t="shared" si="46"/>
        <v>534.59799999999996</v>
      </c>
      <c r="G64" s="170">
        <f t="shared" si="46"/>
        <v>818.15499999999997</v>
      </c>
      <c r="H64" s="170">
        <f t="shared" si="46"/>
        <v>1101.7089999999998</v>
      </c>
      <c r="I64" s="170">
        <f t="shared" si="46"/>
        <v>1385.2629999999999</v>
      </c>
      <c r="J64" s="170">
        <f t="shared" si="46"/>
        <v>3568.8199999999997</v>
      </c>
      <c r="K64" s="170">
        <f t="shared" si="46"/>
        <v>4683.6440000000002</v>
      </c>
      <c r="L64" s="170">
        <f t="shared" si="46"/>
        <v>5048.4679999999998</v>
      </c>
      <c r="M64" s="170">
        <f t="shared" si="46"/>
        <v>6288.2950000000001</v>
      </c>
      <c r="N64" s="170">
        <f t="shared" si="46"/>
        <v>7760.9189999999999</v>
      </c>
      <c r="O64" s="170">
        <f t="shared" si="46"/>
        <v>8160.018</v>
      </c>
      <c r="P64" s="170">
        <f t="shared" si="46"/>
        <v>10856.986000000001</v>
      </c>
      <c r="Q64" s="170"/>
      <c r="R64" s="168"/>
      <c r="S64" s="168"/>
    </row>
    <row r="65" spans="1:19">
      <c r="A65" s="119" t="s">
        <v>81</v>
      </c>
      <c r="E65" s="170">
        <f t="shared" ref="E65:P65" si="47">(E62+E64)/2</f>
        <v>133.64949999999999</v>
      </c>
      <c r="F65" s="170">
        <f t="shared" si="47"/>
        <v>400.94849999999997</v>
      </c>
      <c r="G65" s="170">
        <f t="shared" si="47"/>
        <v>676.37649999999996</v>
      </c>
      <c r="H65" s="170">
        <f t="shared" si="47"/>
        <v>959.9319999999999</v>
      </c>
      <c r="I65" s="170">
        <f t="shared" si="47"/>
        <v>1243.4859999999999</v>
      </c>
      <c r="J65" s="170">
        <f t="shared" si="47"/>
        <v>2477.0414999999998</v>
      </c>
      <c r="K65" s="170">
        <f t="shared" si="47"/>
        <v>4126.232</v>
      </c>
      <c r="L65" s="170">
        <f t="shared" si="47"/>
        <v>4866.0560000000005</v>
      </c>
      <c r="M65" s="170">
        <f t="shared" si="47"/>
        <v>5668.3814999999995</v>
      </c>
      <c r="N65" s="170">
        <f t="shared" si="47"/>
        <v>7024.607</v>
      </c>
      <c r="O65" s="170">
        <f t="shared" si="47"/>
        <v>7960.4684999999999</v>
      </c>
      <c r="P65" s="170">
        <f t="shared" si="47"/>
        <v>9508.5020000000004</v>
      </c>
      <c r="Q65" s="170"/>
      <c r="R65" s="168"/>
      <c r="S65" s="168"/>
    </row>
    <row r="66" spans="1:19">
      <c r="R66" s="168"/>
      <c r="S66" s="168"/>
    </row>
    <row r="67" spans="1:19">
      <c r="R67" s="168"/>
      <c r="S67" s="168"/>
    </row>
    <row r="68" spans="1:19">
      <c r="A68" s="169" t="s">
        <v>95</v>
      </c>
      <c r="B68" s="169"/>
      <c r="D68" s="119">
        <f>$C$5</f>
        <v>1</v>
      </c>
      <c r="E68" s="172">
        <f>ROUND(CAP15.3!I43,0)*$D$68</f>
        <v>0</v>
      </c>
      <c r="F68" s="172">
        <f>ROUND(CAP15.3!J43,0)*$D$68</f>
        <v>0</v>
      </c>
      <c r="G68" s="172">
        <f>ROUND(CAP15.3!K43,0)*$D$68</f>
        <v>0</v>
      </c>
      <c r="H68" s="172">
        <f>ROUND(CAP15.3!L43,0)*$D$68</f>
        <v>0</v>
      </c>
      <c r="I68" s="172">
        <f>ROUND(CAP15.3!M43,0)*$D$68</f>
        <v>0</v>
      </c>
      <c r="J68" s="172">
        <f>ROUND(CAP15.3!N43,0)*$D$68</f>
        <v>0</v>
      </c>
      <c r="K68" s="172">
        <f>ROUND(CAP15.3!O43,0)*$D$68</f>
        <v>0</v>
      </c>
      <c r="L68" s="172">
        <f>ROUND(CAP15.3!P43,0)*$D$68</f>
        <v>0</v>
      </c>
      <c r="M68" s="172">
        <f>ROUND(CAP15.3!Q43,0)*$D$68</f>
        <v>0</v>
      </c>
      <c r="N68" s="172">
        <f>ROUND(CAP15.3!R43,0)*$D$68</f>
        <v>0</v>
      </c>
      <c r="O68" s="172">
        <f>ROUND(CAP15.3!S43,0)*$D$68</f>
        <v>0</v>
      </c>
      <c r="P68" s="172">
        <f>ROUND(CAP15.3!T43,0)*$D$68</f>
        <v>889261</v>
      </c>
      <c r="Q68" s="172"/>
      <c r="R68" s="168">
        <f>SUM(E68:P68)/1000</f>
        <v>889.26099999999997</v>
      </c>
      <c r="S68" s="168">
        <f>SUM(E73:P73)/12</f>
        <v>37.052541666666663</v>
      </c>
    </row>
    <row r="69" spans="1:19">
      <c r="A69" s="169" t="s">
        <v>82</v>
      </c>
      <c r="B69" s="169"/>
      <c r="R69" s="168"/>
      <c r="S69" s="168"/>
    </row>
    <row r="70" spans="1:19">
      <c r="A70" s="119" t="s">
        <v>78</v>
      </c>
      <c r="E70" s="119">
        <v>0</v>
      </c>
      <c r="F70" s="170">
        <f t="shared" ref="F70:P70" si="48">E72</f>
        <v>0</v>
      </c>
      <c r="G70" s="170">
        <f t="shared" si="48"/>
        <v>0</v>
      </c>
      <c r="H70" s="170">
        <f t="shared" si="48"/>
        <v>0</v>
      </c>
      <c r="I70" s="170">
        <f t="shared" si="48"/>
        <v>0</v>
      </c>
      <c r="J70" s="170">
        <f t="shared" si="48"/>
        <v>0</v>
      </c>
      <c r="K70" s="170">
        <f t="shared" si="48"/>
        <v>0</v>
      </c>
      <c r="L70" s="170">
        <f t="shared" si="48"/>
        <v>0</v>
      </c>
      <c r="M70" s="170">
        <f t="shared" si="48"/>
        <v>0</v>
      </c>
      <c r="N70" s="170">
        <f t="shared" si="48"/>
        <v>0</v>
      </c>
      <c r="O70" s="170">
        <f t="shared" si="48"/>
        <v>0</v>
      </c>
      <c r="P70" s="170">
        <f t="shared" si="48"/>
        <v>0</v>
      </c>
      <c r="Q70" s="170"/>
      <c r="R70" s="168"/>
      <c r="S70" s="168"/>
    </row>
    <row r="71" spans="1:19">
      <c r="A71" s="119" t="s">
        <v>79</v>
      </c>
      <c r="E71" s="170">
        <f>E68/1000</f>
        <v>0</v>
      </c>
      <c r="F71" s="170">
        <f t="shared" ref="F71:P71" si="49">F68/1000</f>
        <v>0</v>
      </c>
      <c r="G71" s="170">
        <f t="shared" si="49"/>
        <v>0</v>
      </c>
      <c r="H71" s="170">
        <f t="shared" si="49"/>
        <v>0</v>
      </c>
      <c r="I71" s="170">
        <f t="shared" si="49"/>
        <v>0</v>
      </c>
      <c r="J71" s="170">
        <f t="shared" si="49"/>
        <v>0</v>
      </c>
      <c r="K71" s="170">
        <f t="shared" si="49"/>
        <v>0</v>
      </c>
      <c r="L71" s="170">
        <f t="shared" si="49"/>
        <v>0</v>
      </c>
      <c r="M71" s="170">
        <f t="shared" si="49"/>
        <v>0</v>
      </c>
      <c r="N71" s="170">
        <f t="shared" si="49"/>
        <v>0</v>
      </c>
      <c r="O71" s="170">
        <f t="shared" si="49"/>
        <v>0</v>
      </c>
      <c r="P71" s="170">
        <f t="shared" si="49"/>
        <v>889.26099999999997</v>
      </c>
      <c r="Q71" s="170"/>
      <c r="R71" s="168"/>
      <c r="S71" s="168"/>
    </row>
    <row r="72" spans="1:19">
      <c r="A72" s="119" t="s">
        <v>80</v>
      </c>
      <c r="E72" s="170">
        <f t="shared" ref="E72:P72" si="50">E70+E71</f>
        <v>0</v>
      </c>
      <c r="F72" s="170">
        <f t="shared" si="50"/>
        <v>0</v>
      </c>
      <c r="G72" s="170">
        <f t="shared" si="50"/>
        <v>0</v>
      </c>
      <c r="H72" s="170">
        <f t="shared" si="50"/>
        <v>0</v>
      </c>
      <c r="I72" s="170">
        <f t="shared" si="50"/>
        <v>0</v>
      </c>
      <c r="J72" s="170">
        <f t="shared" si="50"/>
        <v>0</v>
      </c>
      <c r="K72" s="170">
        <f t="shared" si="50"/>
        <v>0</v>
      </c>
      <c r="L72" s="170">
        <f t="shared" si="50"/>
        <v>0</v>
      </c>
      <c r="M72" s="170">
        <f t="shared" si="50"/>
        <v>0</v>
      </c>
      <c r="N72" s="170">
        <f t="shared" si="50"/>
        <v>0</v>
      </c>
      <c r="O72" s="170">
        <f t="shared" si="50"/>
        <v>0</v>
      </c>
      <c r="P72" s="170">
        <f t="shared" si="50"/>
        <v>889.26099999999997</v>
      </c>
      <c r="Q72" s="170"/>
      <c r="R72" s="168"/>
      <c r="S72" s="168"/>
    </row>
    <row r="73" spans="1:19">
      <c r="A73" s="119" t="s">
        <v>81</v>
      </c>
      <c r="E73" s="170">
        <f t="shared" ref="E73:P73" si="51">(E70+E72)/2</f>
        <v>0</v>
      </c>
      <c r="F73" s="170">
        <f t="shared" si="51"/>
        <v>0</v>
      </c>
      <c r="G73" s="170">
        <f t="shared" si="51"/>
        <v>0</v>
      </c>
      <c r="H73" s="170">
        <f t="shared" si="51"/>
        <v>0</v>
      </c>
      <c r="I73" s="170">
        <f t="shared" si="51"/>
        <v>0</v>
      </c>
      <c r="J73" s="170">
        <f t="shared" si="51"/>
        <v>0</v>
      </c>
      <c r="K73" s="170">
        <f t="shared" si="51"/>
        <v>0</v>
      </c>
      <c r="L73" s="170">
        <f t="shared" si="51"/>
        <v>0</v>
      </c>
      <c r="M73" s="170">
        <f t="shared" si="51"/>
        <v>0</v>
      </c>
      <c r="N73" s="170">
        <f t="shared" si="51"/>
        <v>0</v>
      </c>
      <c r="O73" s="170">
        <f t="shared" si="51"/>
        <v>0</v>
      </c>
      <c r="P73" s="170">
        <f t="shared" si="51"/>
        <v>444.63049999999998</v>
      </c>
      <c r="Q73" s="170"/>
      <c r="R73" s="168"/>
      <c r="S73" s="168"/>
    </row>
    <row r="74" spans="1:19">
      <c r="R74" s="168"/>
      <c r="S74" s="168"/>
    </row>
    <row r="75" spans="1:19">
      <c r="R75" s="168"/>
      <c r="S75" s="168"/>
    </row>
    <row r="76" spans="1:19">
      <c r="A76" s="169" t="s">
        <v>378</v>
      </c>
      <c r="B76" s="169">
        <v>2054</v>
      </c>
      <c r="D76" s="119">
        <f>$C$5</f>
        <v>1</v>
      </c>
      <c r="E76" s="172">
        <f>ROUND(CAP15.3!I17,0)*$D$76</f>
        <v>27377</v>
      </c>
      <c r="F76" s="172">
        <f>ROUND(CAP15.3!J17,0)*$D$76</f>
        <v>20183</v>
      </c>
      <c r="G76" s="172">
        <f>ROUND(CAP15.3!K17,0)*$D$76</f>
        <v>19052</v>
      </c>
      <c r="H76" s="172">
        <f>ROUND(CAP15.3!L17,0)*$D$76</f>
        <v>207270</v>
      </c>
      <c r="I76" s="172">
        <f>ROUND(CAP15.3!M17,0)*$D$76</f>
        <v>207985</v>
      </c>
      <c r="J76" s="172">
        <f>ROUND(CAP15.3!N17,0)*$D$76</f>
        <v>206559</v>
      </c>
      <c r="K76" s="172">
        <f>ROUND(CAP15.3!O17,0)*$D$76</f>
        <v>214888</v>
      </c>
      <c r="L76" s="172">
        <f>ROUND(CAP15.3!P17,0)*$D$76</f>
        <v>18394</v>
      </c>
      <c r="M76" s="172">
        <f>ROUND(CAP15.3!Q17,0)*$D$76</f>
        <v>18909</v>
      </c>
      <c r="N76" s="172">
        <f>ROUND(CAP15.3!R17,0)*$D$76</f>
        <v>20367</v>
      </c>
      <c r="O76" s="172">
        <f>ROUND(CAP15.3!S17,0)*$D$76</f>
        <v>20596</v>
      </c>
      <c r="P76" s="172">
        <f>ROUND(CAP15.3!T17,0)*$D$76</f>
        <v>18419</v>
      </c>
      <c r="Q76" s="172"/>
      <c r="R76" s="168">
        <f>SUM(E76:P76)/1000</f>
        <v>999.99900000000002</v>
      </c>
      <c r="S76" s="168">
        <f>SUM(E81:P81)/12</f>
        <v>566.16054166666675</v>
      </c>
    </row>
    <row r="77" spans="1:19">
      <c r="A77" s="169" t="s">
        <v>82</v>
      </c>
      <c r="B77" s="169"/>
      <c r="E77" s="172"/>
      <c r="R77" s="168"/>
      <c r="S77" s="168"/>
    </row>
    <row r="78" spans="1:19">
      <c r="E78" s="119">
        <v>0</v>
      </c>
      <c r="F78" s="170">
        <f t="shared" ref="F78:P78" si="52">E80</f>
        <v>27.376999999999999</v>
      </c>
      <c r="G78" s="170">
        <f t="shared" si="52"/>
        <v>47.56</v>
      </c>
      <c r="H78" s="170">
        <f t="shared" si="52"/>
        <v>66.611999999999995</v>
      </c>
      <c r="I78" s="170">
        <f t="shared" si="52"/>
        <v>273.88200000000001</v>
      </c>
      <c r="J78" s="170">
        <f t="shared" si="52"/>
        <v>481.86700000000002</v>
      </c>
      <c r="K78" s="170">
        <f t="shared" si="52"/>
        <v>688.42600000000004</v>
      </c>
      <c r="L78" s="170">
        <f t="shared" si="52"/>
        <v>903.31400000000008</v>
      </c>
      <c r="M78" s="170">
        <f t="shared" si="52"/>
        <v>921.70800000000008</v>
      </c>
      <c r="N78" s="170">
        <f t="shared" si="52"/>
        <v>940.61700000000008</v>
      </c>
      <c r="O78" s="170">
        <f t="shared" si="52"/>
        <v>960.98400000000004</v>
      </c>
      <c r="P78" s="170">
        <f t="shared" si="52"/>
        <v>981.58</v>
      </c>
      <c r="Q78" s="170"/>
      <c r="R78" s="168"/>
      <c r="S78" s="168"/>
    </row>
    <row r="79" spans="1:19">
      <c r="E79" s="170">
        <f>E76/1000</f>
        <v>27.376999999999999</v>
      </c>
      <c r="F79" s="170">
        <f t="shared" ref="F79:P79" si="53">F76/1000</f>
        <v>20.183</v>
      </c>
      <c r="G79" s="170">
        <f t="shared" si="53"/>
        <v>19.052</v>
      </c>
      <c r="H79" s="170">
        <f t="shared" si="53"/>
        <v>207.27</v>
      </c>
      <c r="I79" s="170">
        <f t="shared" si="53"/>
        <v>207.98500000000001</v>
      </c>
      <c r="J79" s="170">
        <f t="shared" si="53"/>
        <v>206.559</v>
      </c>
      <c r="K79" s="170">
        <f t="shared" si="53"/>
        <v>214.88800000000001</v>
      </c>
      <c r="L79" s="170">
        <f t="shared" si="53"/>
        <v>18.393999999999998</v>
      </c>
      <c r="M79" s="170">
        <f t="shared" si="53"/>
        <v>18.908999999999999</v>
      </c>
      <c r="N79" s="170">
        <f t="shared" si="53"/>
        <v>20.367000000000001</v>
      </c>
      <c r="O79" s="170">
        <f t="shared" si="53"/>
        <v>20.596</v>
      </c>
      <c r="P79" s="170">
        <f t="shared" si="53"/>
        <v>18.419</v>
      </c>
      <c r="Q79" s="170"/>
      <c r="R79" s="168"/>
      <c r="S79" s="168"/>
    </row>
    <row r="80" spans="1:19">
      <c r="E80" s="170">
        <f t="shared" ref="E80:P80" si="54">E78+E79</f>
        <v>27.376999999999999</v>
      </c>
      <c r="F80" s="170">
        <f t="shared" si="54"/>
        <v>47.56</v>
      </c>
      <c r="G80" s="170">
        <f t="shared" si="54"/>
        <v>66.611999999999995</v>
      </c>
      <c r="H80" s="170">
        <f t="shared" si="54"/>
        <v>273.88200000000001</v>
      </c>
      <c r="I80" s="170">
        <f t="shared" si="54"/>
        <v>481.86700000000002</v>
      </c>
      <c r="J80" s="170">
        <f t="shared" si="54"/>
        <v>688.42600000000004</v>
      </c>
      <c r="K80" s="170">
        <f t="shared" si="54"/>
        <v>903.31400000000008</v>
      </c>
      <c r="L80" s="170">
        <f t="shared" si="54"/>
        <v>921.70800000000008</v>
      </c>
      <c r="M80" s="170">
        <f t="shared" si="54"/>
        <v>940.61700000000008</v>
      </c>
      <c r="N80" s="170">
        <f t="shared" si="54"/>
        <v>960.98400000000004</v>
      </c>
      <c r="O80" s="170">
        <f t="shared" si="54"/>
        <v>981.58</v>
      </c>
      <c r="P80" s="170">
        <f t="shared" si="54"/>
        <v>999.99900000000002</v>
      </c>
      <c r="Q80" s="170"/>
      <c r="R80" s="168"/>
      <c r="S80" s="168"/>
    </row>
    <row r="81" spans="1:19">
      <c r="E81" s="170">
        <f t="shared" ref="E81:P81" si="55">(E78+E80)/2</f>
        <v>13.688499999999999</v>
      </c>
      <c r="F81" s="170">
        <f t="shared" si="55"/>
        <v>37.468499999999999</v>
      </c>
      <c r="G81" s="170">
        <f t="shared" si="55"/>
        <v>57.085999999999999</v>
      </c>
      <c r="H81" s="170">
        <f t="shared" si="55"/>
        <v>170.24700000000001</v>
      </c>
      <c r="I81" s="170">
        <f t="shared" si="55"/>
        <v>377.87450000000001</v>
      </c>
      <c r="J81" s="170">
        <f t="shared" si="55"/>
        <v>585.14650000000006</v>
      </c>
      <c r="K81" s="170">
        <f t="shared" si="55"/>
        <v>795.87000000000012</v>
      </c>
      <c r="L81" s="170">
        <f t="shared" si="55"/>
        <v>912.51100000000008</v>
      </c>
      <c r="M81" s="170">
        <f t="shared" si="55"/>
        <v>931.16250000000014</v>
      </c>
      <c r="N81" s="170">
        <f t="shared" si="55"/>
        <v>950.80050000000006</v>
      </c>
      <c r="O81" s="170">
        <f t="shared" si="55"/>
        <v>971.28200000000004</v>
      </c>
      <c r="P81" s="170">
        <f t="shared" si="55"/>
        <v>990.78950000000009</v>
      </c>
      <c r="Q81" s="170"/>
      <c r="R81" s="168"/>
      <c r="S81" s="168"/>
    </row>
    <row r="82" spans="1:19">
      <c r="R82" s="168"/>
      <c r="S82" s="168"/>
    </row>
    <row r="83" spans="1:19">
      <c r="R83" s="168"/>
      <c r="S83" s="168"/>
    </row>
    <row r="84" spans="1:19">
      <c r="A84" s="169" t="s">
        <v>167</v>
      </c>
      <c r="B84" s="169">
        <v>2055</v>
      </c>
      <c r="D84" s="119">
        <f>$C$5</f>
        <v>1</v>
      </c>
      <c r="E84" s="172">
        <f>ROUND(CAP15.3!I18,0)*$D$84</f>
        <v>874913</v>
      </c>
      <c r="F84" s="172">
        <f>ROUND(CAP15.3!J18,0)*$D$84</f>
        <v>672226</v>
      </c>
      <c r="G84" s="172">
        <f>ROUND(CAP15.3!K18,0)*$D$84</f>
        <v>640347</v>
      </c>
      <c r="H84" s="172">
        <f>ROUND(CAP15.3!L18,0)*$D$84</f>
        <v>663906</v>
      </c>
      <c r="I84" s="172">
        <f>ROUND(CAP15.3!M18,0)*$D$84</f>
        <v>684065</v>
      </c>
      <c r="J84" s="172">
        <f>ROUND(CAP15.3!N18,0)*$D$84</f>
        <v>643911</v>
      </c>
      <c r="K84" s="172">
        <f>ROUND(CAP15.3!O18,0)*$D$84</f>
        <v>878504</v>
      </c>
      <c r="L84" s="172">
        <f>ROUND(CAP15.3!P18,0)*$D$84</f>
        <v>621873</v>
      </c>
      <c r="M84" s="172">
        <f>ROUND(CAP15.3!Q18,0)*$D$84</f>
        <v>636347</v>
      </c>
      <c r="N84" s="172">
        <f>ROUND(CAP15.3!R18,0)*$D$84</f>
        <v>677425</v>
      </c>
      <c r="O84" s="172">
        <f>ROUND(CAP15.3!S18,0)*$D$84</f>
        <v>683859</v>
      </c>
      <c r="P84" s="172">
        <f>ROUND(CAP15.3!T18,0)*$D$84</f>
        <v>622634</v>
      </c>
      <c r="Q84" s="172"/>
      <c r="R84" s="168">
        <f>SUM(E84:P84)/1000</f>
        <v>8300.01</v>
      </c>
      <c r="S84" s="168">
        <f>SUM(E89:P89)/12</f>
        <v>4254.1968333333325</v>
      </c>
    </row>
    <row r="85" spans="1:19">
      <c r="A85" s="169" t="s">
        <v>82</v>
      </c>
      <c r="B85" s="169"/>
      <c r="R85" s="168"/>
      <c r="S85" s="168"/>
    </row>
    <row r="86" spans="1:19">
      <c r="E86" s="119">
        <v>0</v>
      </c>
      <c r="F86" s="170">
        <f t="shared" ref="F86:P86" si="56">E88</f>
        <v>874.91300000000001</v>
      </c>
      <c r="G86" s="170">
        <f t="shared" si="56"/>
        <v>1547.1390000000001</v>
      </c>
      <c r="H86" s="170">
        <f t="shared" si="56"/>
        <v>2187.4859999999999</v>
      </c>
      <c r="I86" s="170">
        <f t="shared" si="56"/>
        <v>2851.3919999999998</v>
      </c>
      <c r="J86" s="170">
        <f t="shared" si="56"/>
        <v>3535.4569999999999</v>
      </c>
      <c r="K86" s="170">
        <f t="shared" si="56"/>
        <v>4179.3679999999995</v>
      </c>
      <c r="L86" s="170">
        <f t="shared" si="56"/>
        <v>5057.8719999999994</v>
      </c>
      <c r="M86" s="170">
        <f t="shared" si="56"/>
        <v>5679.744999999999</v>
      </c>
      <c r="N86" s="170">
        <f t="shared" si="56"/>
        <v>6316.0919999999987</v>
      </c>
      <c r="O86" s="170">
        <f t="shared" si="56"/>
        <v>6993.5169999999989</v>
      </c>
      <c r="P86" s="170">
        <f t="shared" si="56"/>
        <v>7677.3759999999993</v>
      </c>
      <c r="Q86" s="170"/>
      <c r="R86" s="168"/>
      <c r="S86" s="168"/>
    </row>
    <row r="87" spans="1:19">
      <c r="E87" s="170">
        <f>E84/1000</f>
        <v>874.91300000000001</v>
      </c>
      <c r="F87" s="170">
        <f t="shared" ref="F87:P87" si="57">F84/1000</f>
        <v>672.226</v>
      </c>
      <c r="G87" s="170">
        <f t="shared" si="57"/>
        <v>640.34699999999998</v>
      </c>
      <c r="H87" s="170">
        <f t="shared" si="57"/>
        <v>663.90599999999995</v>
      </c>
      <c r="I87" s="170">
        <f t="shared" si="57"/>
        <v>684.06500000000005</v>
      </c>
      <c r="J87" s="170">
        <f t="shared" si="57"/>
        <v>643.91099999999994</v>
      </c>
      <c r="K87" s="170">
        <f t="shared" si="57"/>
        <v>878.50400000000002</v>
      </c>
      <c r="L87" s="170">
        <f t="shared" si="57"/>
        <v>621.87300000000005</v>
      </c>
      <c r="M87" s="170">
        <f t="shared" si="57"/>
        <v>636.34699999999998</v>
      </c>
      <c r="N87" s="170">
        <f t="shared" si="57"/>
        <v>677.42499999999995</v>
      </c>
      <c r="O87" s="170">
        <f t="shared" si="57"/>
        <v>683.85900000000004</v>
      </c>
      <c r="P87" s="170">
        <f t="shared" si="57"/>
        <v>622.63400000000001</v>
      </c>
      <c r="Q87" s="170"/>
      <c r="R87" s="168"/>
      <c r="S87" s="168"/>
    </row>
    <row r="88" spans="1:19">
      <c r="E88" s="170">
        <f t="shared" ref="E88:P88" si="58">E86+E87</f>
        <v>874.91300000000001</v>
      </c>
      <c r="F88" s="170">
        <f t="shared" si="58"/>
        <v>1547.1390000000001</v>
      </c>
      <c r="G88" s="170">
        <f t="shared" si="58"/>
        <v>2187.4859999999999</v>
      </c>
      <c r="H88" s="170">
        <f t="shared" si="58"/>
        <v>2851.3919999999998</v>
      </c>
      <c r="I88" s="170">
        <f t="shared" si="58"/>
        <v>3535.4569999999999</v>
      </c>
      <c r="J88" s="170">
        <f t="shared" si="58"/>
        <v>4179.3679999999995</v>
      </c>
      <c r="K88" s="170">
        <f t="shared" si="58"/>
        <v>5057.8719999999994</v>
      </c>
      <c r="L88" s="170">
        <f t="shared" si="58"/>
        <v>5679.744999999999</v>
      </c>
      <c r="M88" s="170">
        <f t="shared" si="58"/>
        <v>6316.0919999999987</v>
      </c>
      <c r="N88" s="170">
        <f t="shared" si="58"/>
        <v>6993.5169999999989</v>
      </c>
      <c r="O88" s="170">
        <f t="shared" si="58"/>
        <v>7677.3759999999993</v>
      </c>
      <c r="P88" s="170">
        <f t="shared" si="58"/>
        <v>8300.0099999999984</v>
      </c>
      <c r="Q88" s="170"/>
      <c r="R88" s="168"/>
      <c r="S88" s="168"/>
    </row>
    <row r="89" spans="1:19">
      <c r="E89" s="170">
        <f t="shared" ref="E89:P89" si="59">(E86+E88)/2</f>
        <v>437.45650000000001</v>
      </c>
      <c r="F89" s="170">
        <f t="shared" si="59"/>
        <v>1211.0260000000001</v>
      </c>
      <c r="G89" s="170">
        <f t="shared" si="59"/>
        <v>1867.3125</v>
      </c>
      <c r="H89" s="170">
        <f t="shared" si="59"/>
        <v>2519.4389999999999</v>
      </c>
      <c r="I89" s="170">
        <f t="shared" si="59"/>
        <v>3193.4245000000001</v>
      </c>
      <c r="J89" s="170">
        <f t="shared" si="59"/>
        <v>3857.4124999999995</v>
      </c>
      <c r="K89" s="170">
        <f t="shared" si="59"/>
        <v>4618.619999999999</v>
      </c>
      <c r="L89" s="170">
        <f t="shared" si="59"/>
        <v>5368.8084999999992</v>
      </c>
      <c r="M89" s="170">
        <f t="shared" si="59"/>
        <v>5997.9184999999989</v>
      </c>
      <c r="N89" s="170">
        <f t="shared" si="59"/>
        <v>6654.8044999999984</v>
      </c>
      <c r="O89" s="170">
        <f t="shared" si="59"/>
        <v>7335.4464999999991</v>
      </c>
      <c r="P89" s="170">
        <f t="shared" si="59"/>
        <v>7988.6929999999993</v>
      </c>
      <c r="Q89" s="170"/>
      <c r="R89" s="168"/>
      <c r="S89" s="168"/>
    </row>
    <row r="90" spans="1:19">
      <c r="R90" s="168"/>
      <c r="S90" s="168"/>
    </row>
    <row r="91" spans="1:19">
      <c r="R91" s="168"/>
      <c r="S91" s="168"/>
    </row>
    <row r="92" spans="1:19">
      <c r="A92" s="169" t="s">
        <v>169</v>
      </c>
      <c r="B92" s="169">
        <v>2056</v>
      </c>
      <c r="D92" s="119">
        <f>$C$5</f>
        <v>1</v>
      </c>
      <c r="E92" s="172">
        <f>ROUND(CAP15.3!I19,0)*$D$92</f>
        <v>248278</v>
      </c>
      <c r="F92" s="172">
        <f>ROUND(CAP15.3!J19,0)*$D$92</f>
        <v>194876</v>
      </c>
      <c r="G92" s="172">
        <f>ROUND(CAP15.3!K19,0)*$D$92</f>
        <v>186481</v>
      </c>
      <c r="H92" s="172">
        <f>ROUND(CAP15.3!L19,0)*$D$92</f>
        <v>192685</v>
      </c>
      <c r="I92" s="172">
        <f>ROUND(CAP15.3!M19,0)*$D$92</f>
        <v>197994</v>
      </c>
      <c r="J92" s="172">
        <f>ROUND(CAP15.3!N19,0)*$D$92</f>
        <v>187418</v>
      </c>
      <c r="K92" s="172">
        <f>ROUND(CAP15.3!O19,0)*$D$92</f>
        <v>249222</v>
      </c>
      <c r="L92" s="172">
        <f>ROUND(CAP15.3!P19,0)*$D$92</f>
        <v>181612</v>
      </c>
      <c r="M92" s="172">
        <f>ROUND(CAP15.3!Q19,0)*$D$92</f>
        <v>185426</v>
      </c>
      <c r="N92" s="172">
        <f>ROUND(CAP15.3!R19,0)*$D$92</f>
        <v>196247</v>
      </c>
      <c r="O92" s="172">
        <f>ROUND(CAP15.3!S19,0)*$D$92</f>
        <v>197942</v>
      </c>
      <c r="P92" s="172">
        <f>ROUND(CAP15.3!T19,0)*$D$92</f>
        <v>181822</v>
      </c>
      <c r="Q92" s="172"/>
      <c r="R92" s="168">
        <f>SUM(E92:P92)/1000</f>
        <v>2400.0030000000002</v>
      </c>
      <c r="S92" s="168">
        <f>SUM(E97:P97)/12</f>
        <v>1227.4472083333333</v>
      </c>
    </row>
    <row r="93" spans="1:19">
      <c r="A93" s="169" t="s">
        <v>82</v>
      </c>
      <c r="B93" s="169"/>
      <c r="R93" s="168"/>
      <c r="S93" s="168"/>
    </row>
    <row r="94" spans="1:19">
      <c r="E94" s="119">
        <v>0</v>
      </c>
      <c r="F94" s="170">
        <f t="shared" ref="F94:P94" si="60">E96</f>
        <v>248.27799999999999</v>
      </c>
      <c r="G94" s="170">
        <f t="shared" si="60"/>
        <v>443.154</v>
      </c>
      <c r="H94" s="170">
        <f t="shared" si="60"/>
        <v>629.63499999999999</v>
      </c>
      <c r="I94" s="170">
        <f t="shared" si="60"/>
        <v>822.31999999999994</v>
      </c>
      <c r="J94" s="170">
        <f t="shared" si="60"/>
        <v>1020.314</v>
      </c>
      <c r="K94" s="170">
        <f t="shared" si="60"/>
        <v>1207.732</v>
      </c>
      <c r="L94" s="170">
        <f t="shared" si="60"/>
        <v>1456.954</v>
      </c>
      <c r="M94" s="170">
        <f t="shared" si="60"/>
        <v>1638.566</v>
      </c>
      <c r="N94" s="170">
        <f t="shared" si="60"/>
        <v>1823.992</v>
      </c>
      <c r="O94" s="170">
        <f t="shared" si="60"/>
        <v>2020.239</v>
      </c>
      <c r="P94" s="170">
        <f t="shared" si="60"/>
        <v>2218.181</v>
      </c>
      <c r="Q94" s="170"/>
      <c r="R94" s="168"/>
      <c r="S94" s="168"/>
    </row>
    <row r="95" spans="1:19">
      <c r="E95" s="170">
        <f>E92/1000</f>
        <v>248.27799999999999</v>
      </c>
      <c r="F95" s="170">
        <f t="shared" ref="F95:P95" si="61">F92/1000</f>
        <v>194.876</v>
      </c>
      <c r="G95" s="170">
        <f t="shared" si="61"/>
        <v>186.48099999999999</v>
      </c>
      <c r="H95" s="170">
        <f t="shared" si="61"/>
        <v>192.685</v>
      </c>
      <c r="I95" s="170">
        <f t="shared" si="61"/>
        <v>197.994</v>
      </c>
      <c r="J95" s="170">
        <f t="shared" si="61"/>
        <v>187.41800000000001</v>
      </c>
      <c r="K95" s="170">
        <f t="shared" si="61"/>
        <v>249.22200000000001</v>
      </c>
      <c r="L95" s="170">
        <f t="shared" si="61"/>
        <v>181.61199999999999</v>
      </c>
      <c r="M95" s="170">
        <f t="shared" si="61"/>
        <v>185.42599999999999</v>
      </c>
      <c r="N95" s="170">
        <f t="shared" si="61"/>
        <v>196.24700000000001</v>
      </c>
      <c r="O95" s="170">
        <f t="shared" si="61"/>
        <v>197.94200000000001</v>
      </c>
      <c r="P95" s="170">
        <f t="shared" si="61"/>
        <v>181.822</v>
      </c>
      <c r="Q95" s="170"/>
      <c r="R95" s="168"/>
      <c r="S95" s="168"/>
    </row>
    <row r="96" spans="1:19">
      <c r="E96" s="170">
        <f t="shared" ref="E96:P96" si="62">E94+E95</f>
        <v>248.27799999999999</v>
      </c>
      <c r="F96" s="170">
        <f t="shared" si="62"/>
        <v>443.154</v>
      </c>
      <c r="G96" s="170">
        <f t="shared" si="62"/>
        <v>629.63499999999999</v>
      </c>
      <c r="H96" s="170">
        <f t="shared" si="62"/>
        <v>822.31999999999994</v>
      </c>
      <c r="I96" s="170">
        <f t="shared" si="62"/>
        <v>1020.314</v>
      </c>
      <c r="J96" s="170">
        <f t="shared" si="62"/>
        <v>1207.732</v>
      </c>
      <c r="K96" s="170">
        <f t="shared" si="62"/>
        <v>1456.954</v>
      </c>
      <c r="L96" s="170">
        <f t="shared" si="62"/>
        <v>1638.566</v>
      </c>
      <c r="M96" s="170">
        <f t="shared" si="62"/>
        <v>1823.992</v>
      </c>
      <c r="N96" s="170">
        <f t="shared" si="62"/>
        <v>2020.239</v>
      </c>
      <c r="O96" s="170">
        <f t="shared" si="62"/>
        <v>2218.181</v>
      </c>
      <c r="P96" s="170">
        <f t="shared" si="62"/>
        <v>2400.0030000000002</v>
      </c>
      <c r="Q96" s="170"/>
      <c r="R96" s="168"/>
      <c r="S96" s="168"/>
    </row>
    <row r="97" spans="1:19">
      <c r="E97" s="170">
        <f t="shared" ref="E97:P97" si="63">(E94+E96)/2</f>
        <v>124.139</v>
      </c>
      <c r="F97" s="170">
        <f t="shared" si="63"/>
        <v>345.71600000000001</v>
      </c>
      <c r="G97" s="170">
        <f t="shared" si="63"/>
        <v>536.39449999999999</v>
      </c>
      <c r="H97" s="170">
        <f t="shared" si="63"/>
        <v>725.97749999999996</v>
      </c>
      <c r="I97" s="170">
        <f t="shared" si="63"/>
        <v>921.31700000000001</v>
      </c>
      <c r="J97" s="170">
        <f t="shared" si="63"/>
        <v>1114.0229999999999</v>
      </c>
      <c r="K97" s="170">
        <f t="shared" si="63"/>
        <v>1332.3429999999998</v>
      </c>
      <c r="L97" s="170">
        <f t="shared" si="63"/>
        <v>1547.76</v>
      </c>
      <c r="M97" s="170">
        <f t="shared" si="63"/>
        <v>1731.279</v>
      </c>
      <c r="N97" s="170">
        <f t="shared" si="63"/>
        <v>1922.1154999999999</v>
      </c>
      <c r="O97" s="170">
        <f t="shared" si="63"/>
        <v>2119.21</v>
      </c>
      <c r="P97" s="170">
        <f t="shared" si="63"/>
        <v>2309.0920000000001</v>
      </c>
      <c r="Q97" s="170"/>
      <c r="R97" s="168"/>
      <c r="S97" s="168"/>
    </row>
    <row r="98" spans="1:19"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68"/>
      <c r="S98" s="168"/>
    </row>
    <row r="99" spans="1:19"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68"/>
      <c r="S99" s="168"/>
    </row>
    <row r="100" spans="1:19">
      <c r="A100" s="169" t="s">
        <v>171</v>
      </c>
      <c r="B100" s="169">
        <v>2059</v>
      </c>
      <c r="D100" s="119">
        <f>$C$5</f>
        <v>1</v>
      </c>
      <c r="E100" s="172">
        <f>ROUND(CAP15.3!I20,0)*$D$100</f>
        <v>259526</v>
      </c>
      <c r="F100" s="172">
        <f>ROUND(CAP15.3!J20,0)*$D$100</f>
        <v>193315</v>
      </c>
      <c r="G100" s="172">
        <f>ROUND(CAP15.3!K20,0)*$D$100</f>
        <v>155437</v>
      </c>
      <c r="H100" s="172">
        <f>ROUND(CAP15.3!L20,0)*$D$100</f>
        <v>143052</v>
      </c>
      <c r="I100" s="172">
        <f>ROUND(CAP15.3!M20,0)*$D$100</f>
        <v>130102</v>
      </c>
      <c r="J100" s="172">
        <f>ROUND(CAP15.3!N20,0)*$D$100</f>
        <v>123439</v>
      </c>
      <c r="K100" s="172">
        <f>ROUND(CAP15.3!O20,0)*$D$100</f>
        <v>162353</v>
      </c>
      <c r="L100" s="172">
        <f>ROUND(CAP15.3!P20,0)*$D$100</f>
        <v>119785</v>
      </c>
      <c r="M100" s="172">
        <f>ROUND(CAP15.3!Q20,0)*$D$100</f>
        <v>138480</v>
      </c>
      <c r="N100" s="172">
        <f>ROUND(CAP15.3!R20,0)*$D$100</f>
        <v>161591</v>
      </c>
      <c r="O100" s="172">
        <f>ROUND(CAP15.3!S20,0)*$D$100</f>
        <v>195245</v>
      </c>
      <c r="P100" s="172">
        <f>ROUND(CAP15.3!T20,0)*$D$100</f>
        <v>217675</v>
      </c>
      <c r="Q100" s="172"/>
      <c r="R100" s="168">
        <f>SUM(E100:P100)/1000</f>
        <v>2000</v>
      </c>
      <c r="S100" s="168">
        <f>SUM(E105:P105)/12</f>
        <v>1017.2837500000001</v>
      </c>
    </row>
    <row r="101" spans="1:19">
      <c r="A101" s="169" t="s">
        <v>82</v>
      </c>
      <c r="B101" s="169"/>
      <c r="R101" s="168"/>
      <c r="S101" s="168"/>
    </row>
    <row r="102" spans="1:19">
      <c r="E102" s="119">
        <v>0</v>
      </c>
      <c r="F102" s="170">
        <f t="shared" ref="F102:P102" si="64">E104</f>
        <v>259.52600000000001</v>
      </c>
      <c r="G102" s="170">
        <f t="shared" si="64"/>
        <v>452.84100000000001</v>
      </c>
      <c r="H102" s="170">
        <f t="shared" si="64"/>
        <v>608.27800000000002</v>
      </c>
      <c r="I102" s="170">
        <f t="shared" si="64"/>
        <v>751.33</v>
      </c>
      <c r="J102" s="170">
        <f t="shared" si="64"/>
        <v>881.43200000000002</v>
      </c>
      <c r="K102" s="170">
        <f t="shared" si="64"/>
        <v>1004.871</v>
      </c>
      <c r="L102" s="170">
        <f t="shared" si="64"/>
        <v>1167.2239999999999</v>
      </c>
      <c r="M102" s="170">
        <f t="shared" si="64"/>
        <v>1287.009</v>
      </c>
      <c r="N102" s="170">
        <f t="shared" si="64"/>
        <v>1425.489</v>
      </c>
      <c r="O102" s="170">
        <f t="shared" si="64"/>
        <v>1587.08</v>
      </c>
      <c r="P102" s="170">
        <f t="shared" si="64"/>
        <v>1782.3249999999998</v>
      </c>
      <c r="Q102" s="170"/>
      <c r="R102" s="168"/>
      <c r="S102" s="168"/>
    </row>
    <row r="103" spans="1:19">
      <c r="E103" s="170">
        <f>E100/1000</f>
        <v>259.52600000000001</v>
      </c>
      <c r="F103" s="170">
        <f t="shared" ref="F103:P103" si="65">F100/1000</f>
        <v>193.315</v>
      </c>
      <c r="G103" s="170">
        <f t="shared" si="65"/>
        <v>155.43700000000001</v>
      </c>
      <c r="H103" s="170">
        <f t="shared" si="65"/>
        <v>143.05199999999999</v>
      </c>
      <c r="I103" s="170">
        <f t="shared" si="65"/>
        <v>130.102</v>
      </c>
      <c r="J103" s="170">
        <f t="shared" si="65"/>
        <v>123.43899999999999</v>
      </c>
      <c r="K103" s="170">
        <f t="shared" si="65"/>
        <v>162.35300000000001</v>
      </c>
      <c r="L103" s="170">
        <f t="shared" si="65"/>
        <v>119.785</v>
      </c>
      <c r="M103" s="170">
        <f t="shared" si="65"/>
        <v>138.47999999999999</v>
      </c>
      <c r="N103" s="170">
        <f t="shared" si="65"/>
        <v>161.59100000000001</v>
      </c>
      <c r="O103" s="170">
        <f t="shared" si="65"/>
        <v>195.245</v>
      </c>
      <c r="P103" s="170">
        <f t="shared" si="65"/>
        <v>217.67500000000001</v>
      </c>
      <c r="Q103" s="170"/>
      <c r="R103" s="168"/>
      <c r="S103" s="168"/>
    </row>
    <row r="104" spans="1:19">
      <c r="E104" s="170">
        <f t="shared" ref="E104:P104" si="66">E102+E103</f>
        <v>259.52600000000001</v>
      </c>
      <c r="F104" s="170">
        <f t="shared" si="66"/>
        <v>452.84100000000001</v>
      </c>
      <c r="G104" s="170">
        <f t="shared" si="66"/>
        <v>608.27800000000002</v>
      </c>
      <c r="H104" s="170">
        <f t="shared" si="66"/>
        <v>751.33</v>
      </c>
      <c r="I104" s="170">
        <f t="shared" si="66"/>
        <v>881.43200000000002</v>
      </c>
      <c r="J104" s="170">
        <f t="shared" si="66"/>
        <v>1004.871</v>
      </c>
      <c r="K104" s="170">
        <f t="shared" si="66"/>
        <v>1167.2239999999999</v>
      </c>
      <c r="L104" s="170">
        <f t="shared" si="66"/>
        <v>1287.009</v>
      </c>
      <c r="M104" s="170">
        <f t="shared" si="66"/>
        <v>1425.489</v>
      </c>
      <c r="N104" s="170">
        <f t="shared" si="66"/>
        <v>1587.08</v>
      </c>
      <c r="O104" s="170">
        <f t="shared" si="66"/>
        <v>1782.3249999999998</v>
      </c>
      <c r="P104" s="170">
        <f t="shared" si="66"/>
        <v>1999.9999999999998</v>
      </c>
      <c r="Q104" s="170"/>
      <c r="R104" s="168"/>
      <c r="S104" s="168"/>
    </row>
    <row r="105" spans="1:19">
      <c r="E105" s="170">
        <f t="shared" ref="E105:P105" si="67">(E102+E104)/2</f>
        <v>129.76300000000001</v>
      </c>
      <c r="F105" s="170">
        <f t="shared" si="67"/>
        <v>356.18349999999998</v>
      </c>
      <c r="G105" s="170">
        <f t="shared" si="67"/>
        <v>530.55950000000007</v>
      </c>
      <c r="H105" s="170">
        <f t="shared" si="67"/>
        <v>679.80400000000009</v>
      </c>
      <c r="I105" s="170">
        <f t="shared" si="67"/>
        <v>816.38100000000009</v>
      </c>
      <c r="J105" s="170">
        <f t="shared" si="67"/>
        <v>943.15149999999994</v>
      </c>
      <c r="K105" s="170">
        <f t="shared" si="67"/>
        <v>1086.0474999999999</v>
      </c>
      <c r="L105" s="170">
        <f t="shared" si="67"/>
        <v>1227.1165000000001</v>
      </c>
      <c r="M105" s="170">
        <f t="shared" si="67"/>
        <v>1356.249</v>
      </c>
      <c r="N105" s="170">
        <f t="shared" si="67"/>
        <v>1506.2845</v>
      </c>
      <c r="O105" s="170">
        <f t="shared" si="67"/>
        <v>1684.7024999999999</v>
      </c>
      <c r="P105" s="170">
        <f t="shared" si="67"/>
        <v>1891.1624999999999</v>
      </c>
      <c r="Q105" s="170"/>
      <c r="R105" s="168"/>
      <c r="S105" s="168"/>
    </row>
    <row r="106" spans="1:19"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68"/>
      <c r="S106" s="168"/>
    </row>
    <row r="107" spans="1:19"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68"/>
      <c r="S107" s="168"/>
    </row>
    <row r="108" spans="1:19">
      <c r="A108" s="169" t="s">
        <v>225</v>
      </c>
      <c r="B108" s="169">
        <v>2060</v>
      </c>
      <c r="C108" s="120"/>
      <c r="D108" s="119">
        <f>$C$5</f>
        <v>1</v>
      </c>
      <c r="E108" s="172">
        <f>ROUND(CAP15.3!I21+CAP15.3!I15,0)*$D$108</f>
        <v>1650143</v>
      </c>
      <c r="F108" s="172">
        <f>ROUND(CAP15.3!J21+CAP15.3!J15,0)*$D$108</f>
        <v>1335560</v>
      </c>
      <c r="G108" s="172">
        <f>ROUND(CAP15.3!K21+CAP15.3!K15,0)*$D$108</f>
        <v>1286086</v>
      </c>
      <c r="H108" s="172">
        <f>ROUND(CAP15.3!L21+CAP15.3!L15,0)*$D$108</f>
        <v>1322648</v>
      </c>
      <c r="I108" s="172">
        <f>ROUND(CAP15.3!M21+CAP15.3!M15,0)*$D$108</f>
        <v>1353937</v>
      </c>
      <c r="J108" s="172">
        <f>ROUND(CAP15.3!N21+CAP15.3!N15,0)*$D$108</f>
        <v>1291619</v>
      </c>
      <c r="K108" s="172">
        <f>ROUND(CAP15.3!O21+CAP15.3!O15,0)*$D$108</f>
        <v>1655716</v>
      </c>
      <c r="L108" s="172">
        <f>ROUND(CAP15.3!P21+CAP15.3!P15,0)*$D$108</f>
        <v>1257410</v>
      </c>
      <c r="M108" s="172">
        <f>ROUND(CAP15.3!Q21+CAP15.3!Q15,0)*$D$108</f>
        <v>1279878</v>
      </c>
      <c r="N108" s="172">
        <f>ROUND(CAP15.3!R21+CAP15.3!R15,0)*$D$108</f>
        <v>1343631</v>
      </c>
      <c r="O108" s="172">
        <f>ROUND(CAP15.3!S21+CAP15.3!S15,0)*$D$108</f>
        <v>1353619</v>
      </c>
      <c r="P108" s="172">
        <f>ROUND(CAP15.3!T21+CAP15.3!T15,0)*$D$108</f>
        <v>1258591</v>
      </c>
      <c r="Q108" s="172"/>
      <c r="R108" s="168">
        <f>SUM(E108:P108)/1000</f>
        <v>16388.838</v>
      </c>
      <c r="S108" s="168">
        <f>SUM(E113:P113)/12</f>
        <v>8356.1298333333343</v>
      </c>
    </row>
    <row r="109" spans="1:19">
      <c r="A109" s="169" t="s">
        <v>82</v>
      </c>
      <c r="B109" s="169">
        <v>1003</v>
      </c>
      <c r="R109" s="168"/>
      <c r="S109" s="168"/>
    </row>
    <row r="110" spans="1:19">
      <c r="E110" s="119">
        <v>0</v>
      </c>
      <c r="F110" s="170">
        <f t="shared" ref="F110:P110" si="68">E112</f>
        <v>1650.143</v>
      </c>
      <c r="G110" s="170">
        <f t="shared" si="68"/>
        <v>2985.703</v>
      </c>
      <c r="H110" s="170">
        <f t="shared" si="68"/>
        <v>4271.7889999999998</v>
      </c>
      <c r="I110" s="170">
        <f t="shared" si="68"/>
        <v>5594.4369999999999</v>
      </c>
      <c r="J110" s="170">
        <f t="shared" si="68"/>
        <v>6948.3739999999998</v>
      </c>
      <c r="K110" s="170">
        <f t="shared" si="68"/>
        <v>8239.9930000000004</v>
      </c>
      <c r="L110" s="170">
        <f t="shared" si="68"/>
        <v>9895.7090000000007</v>
      </c>
      <c r="M110" s="170">
        <f t="shared" si="68"/>
        <v>11153.119000000001</v>
      </c>
      <c r="N110" s="170">
        <f t="shared" si="68"/>
        <v>12432.997000000001</v>
      </c>
      <c r="O110" s="170">
        <f t="shared" si="68"/>
        <v>13776.628000000001</v>
      </c>
      <c r="P110" s="170">
        <f t="shared" si="68"/>
        <v>15130.247000000001</v>
      </c>
      <c r="Q110" s="170"/>
      <c r="R110" s="168"/>
      <c r="S110" s="168"/>
    </row>
    <row r="111" spans="1:19">
      <c r="E111" s="170">
        <f>E108/1000</f>
        <v>1650.143</v>
      </c>
      <c r="F111" s="170">
        <f t="shared" ref="F111:P111" si="69">F108/1000</f>
        <v>1335.56</v>
      </c>
      <c r="G111" s="170">
        <f t="shared" si="69"/>
        <v>1286.086</v>
      </c>
      <c r="H111" s="170">
        <f t="shared" si="69"/>
        <v>1322.6479999999999</v>
      </c>
      <c r="I111" s="170">
        <f t="shared" si="69"/>
        <v>1353.9369999999999</v>
      </c>
      <c r="J111" s="170">
        <f t="shared" si="69"/>
        <v>1291.6189999999999</v>
      </c>
      <c r="K111" s="170">
        <f t="shared" si="69"/>
        <v>1655.7159999999999</v>
      </c>
      <c r="L111" s="170">
        <f t="shared" si="69"/>
        <v>1257.4100000000001</v>
      </c>
      <c r="M111" s="170">
        <f t="shared" si="69"/>
        <v>1279.8779999999999</v>
      </c>
      <c r="N111" s="170">
        <f t="shared" si="69"/>
        <v>1343.6310000000001</v>
      </c>
      <c r="O111" s="170">
        <f t="shared" si="69"/>
        <v>1353.6189999999999</v>
      </c>
      <c r="P111" s="170">
        <f t="shared" si="69"/>
        <v>1258.5909999999999</v>
      </c>
      <c r="Q111" s="170"/>
      <c r="R111" s="168"/>
      <c r="S111" s="168"/>
    </row>
    <row r="112" spans="1:19">
      <c r="E112" s="170">
        <f t="shared" ref="E112:P112" si="70">E110+E111</f>
        <v>1650.143</v>
      </c>
      <c r="F112" s="170">
        <f t="shared" si="70"/>
        <v>2985.703</v>
      </c>
      <c r="G112" s="170">
        <f t="shared" si="70"/>
        <v>4271.7889999999998</v>
      </c>
      <c r="H112" s="170">
        <f t="shared" si="70"/>
        <v>5594.4369999999999</v>
      </c>
      <c r="I112" s="170">
        <f t="shared" si="70"/>
        <v>6948.3739999999998</v>
      </c>
      <c r="J112" s="170">
        <f t="shared" si="70"/>
        <v>8239.9930000000004</v>
      </c>
      <c r="K112" s="170">
        <f t="shared" si="70"/>
        <v>9895.7090000000007</v>
      </c>
      <c r="L112" s="170">
        <f t="shared" si="70"/>
        <v>11153.119000000001</v>
      </c>
      <c r="M112" s="170">
        <f t="shared" si="70"/>
        <v>12432.997000000001</v>
      </c>
      <c r="N112" s="170">
        <f t="shared" si="70"/>
        <v>13776.628000000001</v>
      </c>
      <c r="O112" s="170">
        <f t="shared" si="70"/>
        <v>15130.247000000001</v>
      </c>
      <c r="P112" s="170">
        <f t="shared" si="70"/>
        <v>16388.838</v>
      </c>
      <c r="Q112" s="170"/>
      <c r="R112" s="168"/>
      <c r="S112" s="168"/>
    </row>
    <row r="113" spans="1:19">
      <c r="E113" s="170">
        <f t="shared" ref="E113:P113" si="71">(E110+E112)/2</f>
        <v>825.07150000000001</v>
      </c>
      <c r="F113" s="170">
        <f t="shared" si="71"/>
        <v>2317.9229999999998</v>
      </c>
      <c r="G113" s="170">
        <f t="shared" si="71"/>
        <v>3628.7460000000001</v>
      </c>
      <c r="H113" s="170">
        <f t="shared" si="71"/>
        <v>4933.1129999999994</v>
      </c>
      <c r="I113" s="170">
        <f t="shared" si="71"/>
        <v>6271.4054999999998</v>
      </c>
      <c r="J113" s="170">
        <f t="shared" si="71"/>
        <v>7594.1835000000001</v>
      </c>
      <c r="K113" s="170">
        <f t="shared" si="71"/>
        <v>9067.8510000000006</v>
      </c>
      <c r="L113" s="170">
        <f t="shared" si="71"/>
        <v>10524.414000000001</v>
      </c>
      <c r="M113" s="170">
        <f t="shared" si="71"/>
        <v>11793.058000000001</v>
      </c>
      <c r="N113" s="170">
        <f t="shared" si="71"/>
        <v>13104.8125</v>
      </c>
      <c r="O113" s="170">
        <f t="shared" si="71"/>
        <v>14453.4375</v>
      </c>
      <c r="P113" s="170">
        <f t="shared" si="71"/>
        <v>15759.5425</v>
      </c>
      <c r="Q113" s="170"/>
      <c r="R113" s="168"/>
      <c r="S113" s="168"/>
    </row>
    <row r="114" spans="1:19">
      <c r="R114" s="168"/>
      <c r="S114" s="168"/>
    </row>
    <row r="115" spans="1:19">
      <c r="R115" s="168"/>
      <c r="S115" s="168"/>
    </row>
    <row r="116" spans="1:19">
      <c r="A116" s="169" t="s">
        <v>173</v>
      </c>
      <c r="B116" s="169">
        <v>2204</v>
      </c>
      <c r="D116" s="119">
        <f>$C$5</f>
        <v>1</v>
      </c>
      <c r="E116" s="172">
        <f>ROUND(CAP15.3!I23,0)*$D$116</f>
        <v>6276</v>
      </c>
      <c r="F116" s="172">
        <f>ROUND(CAP15.3!J23,0)*$D$116</f>
        <v>6276</v>
      </c>
      <c r="G116" s="172">
        <f>ROUND(CAP15.3!K23,0)*$D$116</f>
        <v>6276</v>
      </c>
      <c r="H116" s="172">
        <f>ROUND(CAP15.3!L23,0)*$D$116</f>
        <v>6276</v>
      </c>
      <c r="I116" s="172">
        <f>ROUND(CAP15.3!M23,0)*$D$116</f>
        <v>6276</v>
      </c>
      <c r="J116" s="172">
        <f>ROUND(CAP15.3!N23,0)*$D$116</f>
        <v>6276</v>
      </c>
      <c r="K116" s="172">
        <f>ROUND(CAP15.3!O23,0)*$D$116</f>
        <v>6276</v>
      </c>
      <c r="L116" s="172">
        <f>ROUND(CAP15.3!P23,0)*$D$116</f>
        <v>6276</v>
      </c>
      <c r="M116" s="172">
        <f>ROUND(CAP15.3!Q23,0)*$D$116</f>
        <v>6276</v>
      </c>
      <c r="N116" s="172">
        <f>ROUND(CAP15.3!R23,0)*$D$116</f>
        <v>6276</v>
      </c>
      <c r="O116" s="172">
        <f>ROUND(CAP15.3!S23,0)*$D$116</f>
        <v>6276</v>
      </c>
      <c r="P116" s="172">
        <f>ROUND(CAP15.3!T23,0)*$D$116</f>
        <v>86276</v>
      </c>
      <c r="Q116" s="172"/>
      <c r="R116" s="168">
        <f>SUM(E116:P116)/1000</f>
        <v>155.31200000000001</v>
      </c>
      <c r="S116" s="168">
        <f>SUM(E121:P121)/12</f>
        <v>40.989333333333327</v>
      </c>
    </row>
    <row r="117" spans="1:19">
      <c r="A117" s="169" t="s">
        <v>82</v>
      </c>
      <c r="B117" s="169"/>
      <c r="R117" s="168"/>
      <c r="S117" s="168"/>
    </row>
    <row r="118" spans="1:19">
      <c r="E118" s="119">
        <v>0</v>
      </c>
      <c r="F118" s="170">
        <f t="shared" ref="F118:P118" si="72">E120</f>
        <v>6.2759999999999998</v>
      </c>
      <c r="G118" s="170">
        <f t="shared" si="72"/>
        <v>12.552</v>
      </c>
      <c r="H118" s="170">
        <f t="shared" si="72"/>
        <v>18.827999999999999</v>
      </c>
      <c r="I118" s="170">
        <f t="shared" si="72"/>
        <v>25.103999999999999</v>
      </c>
      <c r="J118" s="170">
        <f t="shared" si="72"/>
        <v>31.38</v>
      </c>
      <c r="K118" s="170">
        <f t="shared" si="72"/>
        <v>37.655999999999999</v>
      </c>
      <c r="L118" s="170">
        <f t="shared" si="72"/>
        <v>43.932000000000002</v>
      </c>
      <c r="M118" s="170">
        <f t="shared" si="72"/>
        <v>50.207999999999998</v>
      </c>
      <c r="N118" s="170">
        <f t="shared" si="72"/>
        <v>56.483999999999995</v>
      </c>
      <c r="O118" s="170">
        <f t="shared" si="72"/>
        <v>62.759999999999991</v>
      </c>
      <c r="P118" s="170">
        <f t="shared" si="72"/>
        <v>69.035999999999987</v>
      </c>
      <c r="Q118" s="170"/>
      <c r="R118" s="168"/>
      <c r="S118" s="168"/>
    </row>
    <row r="119" spans="1:19">
      <c r="E119" s="170">
        <f>E116/1000</f>
        <v>6.2759999999999998</v>
      </c>
      <c r="F119" s="170">
        <f t="shared" ref="F119:P119" si="73">F116/1000</f>
        <v>6.2759999999999998</v>
      </c>
      <c r="G119" s="170">
        <f t="shared" si="73"/>
        <v>6.2759999999999998</v>
      </c>
      <c r="H119" s="170">
        <f t="shared" si="73"/>
        <v>6.2759999999999998</v>
      </c>
      <c r="I119" s="170">
        <f t="shared" si="73"/>
        <v>6.2759999999999998</v>
      </c>
      <c r="J119" s="170">
        <f t="shared" si="73"/>
        <v>6.2759999999999998</v>
      </c>
      <c r="K119" s="170">
        <f t="shared" si="73"/>
        <v>6.2759999999999998</v>
      </c>
      <c r="L119" s="170">
        <f t="shared" si="73"/>
        <v>6.2759999999999998</v>
      </c>
      <c r="M119" s="170">
        <f t="shared" si="73"/>
        <v>6.2759999999999998</v>
      </c>
      <c r="N119" s="170">
        <f t="shared" si="73"/>
        <v>6.2759999999999998</v>
      </c>
      <c r="O119" s="170">
        <f t="shared" si="73"/>
        <v>6.2759999999999998</v>
      </c>
      <c r="P119" s="170">
        <f t="shared" si="73"/>
        <v>86.275999999999996</v>
      </c>
      <c r="Q119" s="170"/>
      <c r="R119" s="168"/>
      <c r="S119" s="168"/>
    </row>
    <row r="120" spans="1:19">
      <c r="E120" s="170">
        <f t="shared" ref="E120:P120" si="74">E118+E119</f>
        <v>6.2759999999999998</v>
      </c>
      <c r="F120" s="170">
        <f t="shared" si="74"/>
        <v>12.552</v>
      </c>
      <c r="G120" s="170">
        <f t="shared" si="74"/>
        <v>18.827999999999999</v>
      </c>
      <c r="H120" s="170">
        <f t="shared" si="74"/>
        <v>25.103999999999999</v>
      </c>
      <c r="I120" s="170">
        <f t="shared" si="74"/>
        <v>31.38</v>
      </c>
      <c r="J120" s="170">
        <f t="shared" si="74"/>
        <v>37.655999999999999</v>
      </c>
      <c r="K120" s="170">
        <f t="shared" si="74"/>
        <v>43.932000000000002</v>
      </c>
      <c r="L120" s="170">
        <f t="shared" si="74"/>
        <v>50.207999999999998</v>
      </c>
      <c r="M120" s="170">
        <f t="shared" si="74"/>
        <v>56.483999999999995</v>
      </c>
      <c r="N120" s="170">
        <f t="shared" si="74"/>
        <v>62.759999999999991</v>
      </c>
      <c r="O120" s="170">
        <f t="shared" si="74"/>
        <v>69.035999999999987</v>
      </c>
      <c r="P120" s="170">
        <f t="shared" si="74"/>
        <v>155.31199999999998</v>
      </c>
      <c r="Q120" s="170"/>
      <c r="R120" s="168"/>
      <c r="S120" s="168"/>
    </row>
    <row r="121" spans="1:19">
      <c r="E121" s="170">
        <f t="shared" ref="E121:P121" si="75">(E118+E120)/2</f>
        <v>3.1379999999999999</v>
      </c>
      <c r="F121" s="170">
        <f t="shared" si="75"/>
        <v>9.4139999999999997</v>
      </c>
      <c r="G121" s="170">
        <f t="shared" si="75"/>
        <v>15.69</v>
      </c>
      <c r="H121" s="170">
        <f t="shared" si="75"/>
        <v>21.966000000000001</v>
      </c>
      <c r="I121" s="170">
        <f t="shared" si="75"/>
        <v>28.241999999999997</v>
      </c>
      <c r="J121" s="170">
        <f t="shared" si="75"/>
        <v>34.518000000000001</v>
      </c>
      <c r="K121" s="170">
        <f t="shared" si="75"/>
        <v>40.793999999999997</v>
      </c>
      <c r="L121" s="170">
        <f t="shared" si="75"/>
        <v>47.07</v>
      </c>
      <c r="M121" s="170">
        <f t="shared" si="75"/>
        <v>53.345999999999997</v>
      </c>
      <c r="N121" s="170">
        <f t="shared" si="75"/>
        <v>59.621999999999993</v>
      </c>
      <c r="O121" s="170">
        <f t="shared" si="75"/>
        <v>65.897999999999996</v>
      </c>
      <c r="P121" s="170">
        <f t="shared" si="75"/>
        <v>112.17399999999998</v>
      </c>
      <c r="Q121" s="170"/>
      <c r="R121" s="168"/>
      <c r="S121" s="168"/>
    </row>
    <row r="122" spans="1:19"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68"/>
      <c r="S122" s="168"/>
    </row>
    <row r="123" spans="1:19"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68"/>
      <c r="S123" s="168"/>
    </row>
    <row r="124" spans="1:19">
      <c r="A124" s="173" t="s">
        <v>271</v>
      </c>
      <c r="B124" s="173">
        <v>2535</v>
      </c>
      <c r="D124" s="119">
        <f>$C$5</f>
        <v>1</v>
      </c>
      <c r="E124" s="172">
        <f>ROUND(CAP15.3!I36+CAP15.3!I38,0)*$D$124</f>
        <v>513724</v>
      </c>
      <c r="F124" s="172">
        <f>ROUND(CAP15.3!J36+CAP15.3!J38,0)*$D$124</f>
        <v>378717</v>
      </c>
      <c r="G124" s="172">
        <f>ROUND(CAP15.3!K36+CAP15.3!K38,0)*$D$124</f>
        <v>394982</v>
      </c>
      <c r="H124" s="172">
        <f>ROUND(CAP15.3!L36+CAP15.3!L38,0)*$D$124</f>
        <v>373175</v>
      </c>
      <c r="I124" s="172">
        <f>ROUND(CAP15.3!M36+CAP15.3!M38,0)*$D$124</f>
        <v>386603</v>
      </c>
      <c r="J124" s="172">
        <f>ROUND(CAP15.3!N36+CAP15.3!N38,0)*$D$124</f>
        <v>397355</v>
      </c>
      <c r="K124" s="172">
        <f>ROUND(CAP15.3!O36+CAP15.3!O38,0)*$D$124</f>
        <v>516117</v>
      </c>
      <c r="L124" s="172">
        <f>ROUND(CAP15.3!P36+CAP15.3!P38,0)*$D$124</f>
        <v>345177</v>
      </c>
      <c r="M124" s="172">
        <f>ROUND(CAP15.3!Q36+CAP15.3!Q38,0)*$D$124</f>
        <v>392317</v>
      </c>
      <c r="N124" s="172">
        <f>ROUND(CAP15.3!R36+CAP15.3!R38,0)*$D$124</f>
        <v>382180</v>
      </c>
      <c r="O124" s="172">
        <f>ROUND(CAP15.3!S36+CAP15.3!S38,0)*$D$124</f>
        <v>386467</v>
      </c>
      <c r="P124" s="172">
        <f>ROUND(CAP15.3!T36+CAP15.3!T38,0)*$D$124</f>
        <v>383186</v>
      </c>
      <c r="Q124" s="172"/>
      <c r="R124" s="168">
        <f>SUM(E124:P124)/1000</f>
        <v>4850</v>
      </c>
      <c r="S124" s="168">
        <f>SUM(E129:P129)/12</f>
        <v>2481.8995</v>
      </c>
    </row>
    <row r="125" spans="1:19">
      <c r="B125" s="119">
        <v>6000</v>
      </c>
      <c r="R125" s="168"/>
      <c r="S125" s="168"/>
    </row>
    <row r="126" spans="1:19">
      <c r="E126" s="119">
        <v>0</v>
      </c>
      <c r="F126" s="170">
        <f t="shared" ref="F126" si="76">E128</f>
        <v>513.72400000000005</v>
      </c>
      <c r="G126" s="170">
        <f t="shared" ref="G126" si="77">F128</f>
        <v>892.44100000000003</v>
      </c>
      <c r="H126" s="170">
        <f t="shared" ref="H126" si="78">G128</f>
        <v>1287.423</v>
      </c>
      <c r="I126" s="170">
        <f t="shared" ref="I126" si="79">H128</f>
        <v>1660.598</v>
      </c>
      <c r="J126" s="170">
        <f t="shared" ref="J126:K126" si="80">I128</f>
        <v>2047.201</v>
      </c>
      <c r="K126" s="170">
        <f t="shared" si="80"/>
        <v>2444.556</v>
      </c>
      <c r="L126" s="170">
        <f t="shared" ref="L126" si="81">K128</f>
        <v>2960.6729999999998</v>
      </c>
      <c r="M126" s="170">
        <f t="shared" ref="M126" si="82">L128</f>
        <v>3305.85</v>
      </c>
      <c r="N126" s="170">
        <f t="shared" ref="N126" si="83">M128</f>
        <v>3698.1669999999999</v>
      </c>
      <c r="O126" s="170">
        <f t="shared" ref="O126" si="84">N128</f>
        <v>4080.3469999999998</v>
      </c>
      <c r="P126" s="170">
        <f t="shared" ref="P126" si="85">O128</f>
        <v>4466.8139999999994</v>
      </c>
      <c r="Q126" s="170"/>
      <c r="R126" s="168"/>
      <c r="S126" s="168"/>
    </row>
    <row r="127" spans="1:19">
      <c r="E127" s="170">
        <f>E124/1000</f>
        <v>513.72400000000005</v>
      </c>
      <c r="F127" s="170">
        <f t="shared" ref="F127:P127" si="86">F124/1000</f>
        <v>378.71699999999998</v>
      </c>
      <c r="G127" s="170">
        <f t="shared" si="86"/>
        <v>394.98200000000003</v>
      </c>
      <c r="H127" s="170">
        <f t="shared" si="86"/>
        <v>373.17500000000001</v>
      </c>
      <c r="I127" s="170">
        <f t="shared" si="86"/>
        <v>386.60300000000001</v>
      </c>
      <c r="J127" s="170">
        <f t="shared" si="86"/>
        <v>397.35500000000002</v>
      </c>
      <c r="K127" s="170">
        <f t="shared" si="86"/>
        <v>516.11699999999996</v>
      </c>
      <c r="L127" s="170">
        <f t="shared" si="86"/>
        <v>345.17700000000002</v>
      </c>
      <c r="M127" s="170">
        <f t="shared" si="86"/>
        <v>392.31700000000001</v>
      </c>
      <c r="N127" s="170">
        <f t="shared" si="86"/>
        <v>382.18</v>
      </c>
      <c r="O127" s="170">
        <f t="shared" si="86"/>
        <v>386.46699999999998</v>
      </c>
      <c r="P127" s="170">
        <f t="shared" si="86"/>
        <v>383.18599999999998</v>
      </c>
      <c r="Q127" s="170"/>
      <c r="R127" s="168"/>
      <c r="S127" s="168"/>
    </row>
    <row r="128" spans="1:19">
      <c r="E128" s="170">
        <f t="shared" ref="E128:P128" si="87">E126+E127</f>
        <v>513.72400000000005</v>
      </c>
      <c r="F128" s="170">
        <f t="shared" si="87"/>
        <v>892.44100000000003</v>
      </c>
      <c r="G128" s="170">
        <f t="shared" si="87"/>
        <v>1287.423</v>
      </c>
      <c r="H128" s="170">
        <f t="shared" si="87"/>
        <v>1660.598</v>
      </c>
      <c r="I128" s="170">
        <f t="shared" si="87"/>
        <v>2047.201</v>
      </c>
      <c r="J128" s="170">
        <f t="shared" si="87"/>
        <v>2444.556</v>
      </c>
      <c r="K128" s="170">
        <f t="shared" si="87"/>
        <v>2960.6729999999998</v>
      </c>
      <c r="L128" s="170">
        <f t="shared" si="87"/>
        <v>3305.85</v>
      </c>
      <c r="M128" s="170">
        <f t="shared" si="87"/>
        <v>3698.1669999999999</v>
      </c>
      <c r="N128" s="170">
        <f t="shared" si="87"/>
        <v>4080.3469999999998</v>
      </c>
      <c r="O128" s="170">
        <f t="shared" si="87"/>
        <v>4466.8139999999994</v>
      </c>
      <c r="P128" s="170">
        <f t="shared" si="87"/>
        <v>4849.9999999999991</v>
      </c>
      <c r="Q128" s="170"/>
      <c r="R128" s="168"/>
      <c r="S128" s="168"/>
    </row>
    <row r="129" spans="1:19">
      <c r="E129" s="170">
        <f t="shared" ref="E129:P129" si="88">(E126+E128)/2</f>
        <v>256.86200000000002</v>
      </c>
      <c r="F129" s="170">
        <f t="shared" si="88"/>
        <v>703.08249999999998</v>
      </c>
      <c r="G129" s="170">
        <f t="shared" si="88"/>
        <v>1089.932</v>
      </c>
      <c r="H129" s="170">
        <f t="shared" si="88"/>
        <v>1474.0104999999999</v>
      </c>
      <c r="I129" s="170">
        <f t="shared" si="88"/>
        <v>1853.8995</v>
      </c>
      <c r="J129" s="170">
        <f t="shared" si="88"/>
        <v>2245.8784999999998</v>
      </c>
      <c r="K129" s="170">
        <f t="shared" si="88"/>
        <v>2702.6144999999997</v>
      </c>
      <c r="L129" s="170">
        <f t="shared" si="88"/>
        <v>3133.2614999999996</v>
      </c>
      <c r="M129" s="170">
        <f t="shared" si="88"/>
        <v>3502.0084999999999</v>
      </c>
      <c r="N129" s="170">
        <f t="shared" si="88"/>
        <v>3889.2569999999996</v>
      </c>
      <c r="O129" s="170">
        <f t="shared" si="88"/>
        <v>4273.5805</v>
      </c>
      <c r="P129" s="170">
        <f t="shared" si="88"/>
        <v>4658.4069999999992</v>
      </c>
      <c r="Q129" s="170"/>
      <c r="R129" s="168"/>
      <c r="S129" s="168"/>
    </row>
    <row r="130" spans="1:19"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68"/>
      <c r="S130" s="168"/>
    </row>
    <row r="131" spans="1:19"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68"/>
      <c r="S131" s="168"/>
    </row>
    <row r="132" spans="1:19">
      <c r="R132" s="168"/>
      <c r="S132" s="168"/>
    </row>
    <row r="133" spans="1:19">
      <c r="A133" s="169" t="s">
        <v>96</v>
      </c>
      <c r="B133" s="169"/>
      <c r="D133" s="119">
        <f>$C$5</f>
        <v>1</v>
      </c>
      <c r="E133" s="172">
        <f>ROUND(CAP15.3!I39-'CAP15.2 - AMA CALC'!E124-'CAP15.2 - AMA CALC'!E116-'CAP15.2 - AMA CALC'!E100-'CAP15.2 - AMA CALC'!E92-'CAP15.2 - AMA CALC'!E108-'CAP15.2 - AMA CALC'!E84-'CAP15.2 - AMA CALC'!E76-E141,0)*$D$133</f>
        <v>909309</v>
      </c>
      <c r="F133" s="172">
        <f>ROUND(CAP15.3!J39-'CAP15.2 - AMA CALC'!F124-'CAP15.2 - AMA CALC'!F116-'CAP15.2 - AMA CALC'!F100-'CAP15.2 - AMA CALC'!F92-'CAP15.2 - AMA CALC'!F108-'CAP15.2 - AMA CALC'!F84-'CAP15.2 - AMA CALC'!F76-F141,0)*$D$133</f>
        <v>648133</v>
      </c>
      <c r="G133" s="172">
        <f>ROUND(CAP15.3!K39-'CAP15.2 - AMA CALC'!G124-'CAP15.2 - AMA CALC'!G116-'CAP15.2 - AMA CALC'!G100-'CAP15.2 - AMA CALC'!G92-'CAP15.2 - AMA CALC'!G108-'CAP15.2 - AMA CALC'!G84-'CAP15.2 - AMA CALC'!G76-G141,0)*$D$133</f>
        <v>886933</v>
      </c>
      <c r="H133" s="172">
        <f>ROUND(CAP15.3!L39-'CAP15.2 - AMA CALC'!H124-'CAP15.2 - AMA CALC'!H116-'CAP15.2 - AMA CALC'!H100-'CAP15.2 - AMA CALC'!H92-'CAP15.2 - AMA CALC'!H108-'CAP15.2 - AMA CALC'!H84-'CAP15.2 - AMA CALC'!H76-H141,0)*$D$133</f>
        <v>807169</v>
      </c>
      <c r="I133" s="172">
        <f>ROUND(CAP15.3!M39-'CAP15.2 - AMA CALC'!I124-'CAP15.2 - AMA CALC'!I116-'CAP15.2 - AMA CALC'!I100-'CAP15.2 - AMA CALC'!I92-'CAP15.2 - AMA CALC'!I108-'CAP15.2 - AMA CALC'!I84-'CAP15.2 - AMA CALC'!I76-I141,0)*$D$133</f>
        <v>1193235</v>
      </c>
      <c r="J133" s="172">
        <f>ROUND(CAP15.3!N39-'CAP15.2 - AMA CALC'!J124-'CAP15.2 - AMA CALC'!J116-'CAP15.2 - AMA CALC'!J100-'CAP15.2 - AMA CALC'!J92-'CAP15.2 - AMA CALC'!J108-'CAP15.2 - AMA CALC'!J84-'CAP15.2 - AMA CALC'!J76-J141,0)*$D$133</f>
        <v>939968</v>
      </c>
      <c r="K133" s="172">
        <f>ROUND(CAP15.3!O39-'CAP15.2 - AMA CALC'!K124-'CAP15.2 - AMA CALC'!K116-'CAP15.2 - AMA CALC'!K100-'CAP15.2 - AMA CALC'!K92-'CAP15.2 - AMA CALC'!K108-'CAP15.2 - AMA CALC'!K84-'CAP15.2 - AMA CALC'!K76-K141,0)*$D$133</f>
        <v>1192791</v>
      </c>
      <c r="L133" s="172">
        <f>ROUND(CAP15.3!P39-'CAP15.2 - AMA CALC'!L124-'CAP15.2 - AMA CALC'!L116-'CAP15.2 - AMA CALC'!L100-'CAP15.2 - AMA CALC'!L92-'CAP15.2 - AMA CALC'!L108-'CAP15.2 - AMA CALC'!L84-'CAP15.2 - AMA CALC'!L76-L141,0)*$D$133</f>
        <v>931465</v>
      </c>
      <c r="M133" s="172">
        <f>ROUND(CAP15.3!Q39-'CAP15.2 - AMA CALC'!M124-'CAP15.2 - AMA CALC'!M116-'CAP15.2 - AMA CALC'!M100-'CAP15.2 - AMA CALC'!M92-'CAP15.2 - AMA CALC'!M108-'CAP15.2 - AMA CALC'!M84-'CAP15.2 - AMA CALC'!M76-M141,0)*$D$133</f>
        <v>1210393</v>
      </c>
      <c r="N133" s="172">
        <f>ROUND(CAP15.3!R39-'CAP15.2 - AMA CALC'!N124-'CAP15.2 - AMA CALC'!N116-'CAP15.2 - AMA CALC'!N100-'CAP15.2 - AMA CALC'!N92-'CAP15.2 - AMA CALC'!N108-'CAP15.2 - AMA CALC'!N84-'CAP15.2 - AMA CALC'!N76-N141,0)*$D$133</f>
        <v>997707</v>
      </c>
      <c r="O133" s="172">
        <f>ROUND(CAP15.3!S39-'CAP15.2 - AMA CALC'!O124-'CAP15.2 - AMA CALC'!O116-'CAP15.2 - AMA CALC'!O100-'CAP15.2 - AMA CALC'!O92-'CAP15.2 - AMA CALC'!O108-'CAP15.2 - AMA CALC'!O84-'CAP15.2 - AMA CALC'!O76-O141,0)*$D$133</f>
        <v>1072835</v>
      </c>
      <c r="P133" s="172">
        <f>ROUND(CAP15.3!T39-'CAP15.2 - AMA CALC'!P124-'CAP15.2 - AMA CALC'!P116-'CAP15.2 - AMA CALC'!P100-'CAP15.2 - AMA CALC'!P92-'CAP15.2 - AMA CALC'!P108-'CAP15.2 - AMA CALC'!P84-'CAP15.2 - AMA CALC'!P76-P141,0)*$D$133</f>
        <v>8983302</v>
      </c>
      <c r="Q133" s="172"/>
      <c r="R133" s="168">
        <f>SUM(E133:P133)/1000</f>
        <v>19773.240000000002</v>
      </c>
      <c r="S133" s="168">
        <f>SUM(E138:P138)/12</f>
        <v>5932.6495000000004</v>
      </c>
    </row>
    <row r="134" spans="1:19">
      <c r="A134" s="169" t="s">
        <v>82</v>
      </c>
      <c r="B134" s="169"/>
      <c r="R134" s="168"/>
      <c r="S134" s="168"/>
    </row>
    <row r="135" spans="1:19">
      <c r="A135" s="119" t="s">
        <v>78</v>
      </c>
      <c r="E135" s="119">
        <v>0</v>
      </c>
      <c r="F135" s="170">
        <f t="shared" ref="F135:P135" si="89">E137</f>
        <v>909.30899999999997</v>
      </c>
      <c r="G135" s="170">
        <f t="shared" si="89"/>
        <v>1557.442</v>
      </c>
      <c r="H135" s="170">
        <f t="shared" si="89"/>
        <v>2444.375</v>
      </c>
      <c r="I135" s="170">
        <f t="shared" si="89"/>
        <v>3251.5439999999999</v>
      </c>
      <c r="J135" s="170">
        <f t="shared" si="89"/>
        <v>4444.7789999999995</v>
      </c>
      <c r="K135" s="170">
        <f t="shared" si="89"/>
        <v>5384.7469999999994</v>
      </c>
      <c r="L135" s="170">
        <f t="shared" si="89"/>
        <v>6577.5379999999996</v>
      </c>
      <c r="M135" s="170">
        <f t="shared" si="89"/>
        <v>7509.0029999999997</v>
      </c>
      <c r="N135" s="170">
        <f t="shared" si="89"/>
        <v>8719.3960000000006</v>
      </c>
      <c r="O135" s="170">
        <f t="shared" si="89"/>
        <v>9717.103000000001</v>
      </c>
      <c r="P135" s="170">
        <f t="shared" si="89"/>
        <v>10789.938000000002</v>
      </c>
      <c r="Q135" s="170"/>
      <c r="R135" s="168"/>
      <c r="S135" s="168"/>
    </row>
    <row r="136" spans="1:19">
      <c r="A136" s="119" t="s">
        <v>79</v>
      </c>
      <c r="E136" s="170">
        <f>E133/1000</f>
        <v>909.30899999999997</v>
      </c>
      <c r="F136" s="170">
        <f t="shared" ref="F136:P136" si="90">F133/1000</f>
        <v>648.13300000000004</v>
      </c>
      <c r="G136" s="170">
        <f t="shared" si="90"/>
        <v>886.93299999999999</v>
      </c>
      <c r="H136" s="170">
        <f t="shared" si="90"/>
        <v>807.16899999999998</v>
      </c>
      <c r="I136" s="170">
        <f t="shared" si="90"/>
        <v>1193.2349999999999</v>
      </c>
      <c r="J136" s="170">
        <f t="shared" si="90"/>
        <v>939.96799999999996</v>
      </c>
      <c r="K136" s="170">
        <f t="shared" si="90"/>
        <v>1192.7909999999999</v>
      </c>
      <c r="L136" s="170">
        <f t="shared" si="90"/>
        <v>931.46500000000003</v>
      </c>
      <c r="M136" s="170">
        <f t="shared" si="90"/>
        <v>1210.393</v>
      </c>
      <c r="N136" s="170">
        <f t="shared" si="90"/>
        <v>997.70699999999999</v>
      </c>
      <c r="O136" s="170">
        <f t="shared" si="90"/>
        <v>1072.835</v>
      </c>
      <c r="P136" s="170">
        <f t="shared" si="90"/>
        <v>8983.3019999999997</v>
      </c>
      <c r="Q136" s="170"/>
      <c r="R136" s="168"/>
      <c r="S136" s="168"/>
    </row>
    <row r="137" spans="1:19">
      <c r="A137" s="119" t="s">
        <v>80</v>
      </c>
      <c r="E137" s="170">
        <f t="shared" ref="E137:P137" si="91">E135+E136</f>
        <v>909.30899999999997</v>
      </c>
      <c r="F137" s="170">
        <f t="shared" si="91"/>
        <v>1557.442</v>
      </c>
      <c r="G137" s="170">
        <f t="shared" si="91"/>
        <v>2444.375</v>
      </c>
      <c r="H137" s="170">
        <f t="shared" si="91"/>
        <v>3251.5439999999999</v>
      </c>
      <c r="I137" s="170">
        <f t="shared" si="91"/>
        <v>4444.7789999999995</v>
      </c>
      <c r="J137" s="170">
        <f t="shared" si="91"/>
        <v>5384.7469999999994</v>
      </c>
      <c r="K137" s="170">
        <f t="shared" si="91"/>
        <v>6577.5379999999996</v>
      </c>
      <c r="L137" s="170">
        <f t="shared" si="91"/>
        <v>7509.0029999999997</v>
      </c>
      <c r="M137" s="170">
        <f t="shared" si="91"/>
        <v>8719.3960000000006</v>
      </c>
      <c r="N137" s="170">
        <f t="shared" si="91"/>
        <v>9717.103000000001</v>
      </c>
      <c r="O137" s="170">
        <f t="shared" si="91"/>
        <v>10789.938000000002</v>
      </c>
      <c r="P137" s="170">
        <f t="shared" si="91"/>
        <v>19773.240000000002</v>
      </c>
      <c r="Q137" s="170"/>
      <c r="R137" s="168"/>
      <c r="S137" s="168"/>
    </row>
    <row r="138" spans="1:19">
      <c r="A138" s="119" t="s">
        <v>81</v>
      </c>
      <c r="E138" s="170">
        <f t="shared" ref="E138:P138" si="92">(E135+E137)/2</f>
        <v>454.65449999999998</v>
      </c>
      <c r="F138" s="170">
        <f t="shared" si="92"/>
        <v>1233.3755000000001</v>
      </c>
      <c r="G138" s="170">
        <f t="shared" si="92"/>
        <v>2000.9085</v>
      </c>
      <c r="H138" s="170">
        <f t="shared" si="92"/>
        <v>2847.9594999999999</v>
      </c>
      <c r="I138" s="170">
        <f t="shared" si="92"/>
        <v>3848.1614999999997</v>
      </c>
      <c r="J138" s="170">
        <f t="shared" si="92"/>
        <v>4914.762999999999</v>
      </c>
      <c r="K138" s="170">
        <f t="shared" si="92"/>
        <v>5981.1424999999999</v>
      </c>
      <c r="L138" s="170">
        <f t="shared" si="92"/>
        <v>7043.2704999999996</v>
      </c>
      <c r="M138" s="170">
        <f t="shared" si="92"/>
        <v>8114.1995000000006</v>
      </c>
      <c r="N138" s="170">
        <f t="shared" si="92"/>
        <v>9218.2495000000017</v>
      </c>
      <c r="O138" s="170">
        <f t="shared" si="92"/>
        <v>10253.520500000002</v>
      </c>
      <c r="P138" s="170">
        <f t="shared" si="92"/>
        <v>15281.589000000002</v>
      </c>
      <c r="Q138" s="170"/>
      <c r="R138" s="168"/>
      <c r="S138" s="168"/>
    </row>
    <row r="139" spans="1:19"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68"/>
      <c r="S139" s="168"/>
    </row>
    <row r="140" spans="1:19"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68"/>
      <c r="S140" s="168"/>
    </row>
    <row r="141" spans="1:19">
      <c r="A141" s="169" t="s">
        <v>162</v>
      </c>
      <c r="B141" s="169">
        <v>1006</v>
      </c>
      <c r="D141" s="119">
        <f>$C$5</f>
        <v>1</v>
      </c>
      <c r="E141" s="172">
        <f>ROUND(CAP15.3!I16,0)*$D$141</f>
        <v>0</v>
      </c>
      <c r="F141" s="172">
        <f>ROUND(CAP15.3!J16,0)*$D$141</f>
        <v>0</v>
      </c>
      <c r="G141" s="172">
        <f>ROUND(CAP15.3!K16,0)*$D$141</f>
        <v>0</v>
      </c>
      <c r="H141" s="172">
        <f>ROUND(CAP15.3!L16,0)*$D$141</f>
        <v>0</v>
      </c>
      <c r="I141" s="172">
        <f>ROUND(CAP15.3!M16,0)*$D$141</f>
        <v>400000</v>
      </c>
      <c r="J141" s="172">
        <f>ROUND(CAP15.3!N16,0)*$D$141</f>
        <v>0</v>
      </c>
      <c r="K141" s="172">
        <f>ROUND(CAP15.3!O16,0)*$D$141</f>
        <v>0</v>
      </c>
      <c r="L141" s="172">
        <f>ROUND(CAP15.3!P16,0)*$D$141</f>
        <v>400000</v>
      </c>
      <c r="M141" s="172">
        <f>ROUND(CAP15.3!Q16,0)*$D$141</f>
        <v>0</v>
      </c>
      <c r="N141" s="172">
        <f>ROUND(CAP15.3!R16,0)*$D$141</f>
        <v>400000</v>
      </c>
      <c r="O141" s="172">
        <f>ROUND(CAP15.3!S16,0)*$D$141</f>
        <v>0</v>
      </c>
      <c r="P141" s="172">
        <f>ROUND(CAP15.3!T16,0)*$D$141</f>
        <v>0</v>
      </c>
      <c r="Q141" s="172"/>
      <c r="R141" s="168">
        <f>SUM(E141:P141)/1000</f>
        <v>1200</v>
      </c>
      <c r="S141" s="168">
        <f>SUM(E146:P146)/12</f>
        <v>483.33333333333331</v>
      </c>
    </row>
    <row r="142" spans="1:19">
      <c r="A142" s="169" t="s">
        <v>82</v>
      </c>
      <c r="B142" s="169"/>
      <c r="R142" s="168"/>
      <c r="S142" s="168"/>
    </row>
    <row r="143" spans="1:19">
      <c r="A143" s="119" t="s">
        <v>78</v>
      </c>
      <c r="E143" s="119">
        <v>0</v>
      </c>
      <c r="F143" s="170">
        <f t="shared" ref="F143:P143" si="93">E145</f>
        <v>0</v>
      </c>
      <c r="G143" s="170">
        <f t="shared" si="93"/>
        <v>0</v>
      </c>
      <c r="H143" s="170">
        <f t="shared" si="93"/>
        <v>0</v>
      </c>
      <c r="I143" s="170">
        <f t="shared" si="93"/>
        <v>0</v>
      </c>
      <c r="J143" s="170">
        <f t="shared" si="93"/>
        <v>400</v>
      </c>
      <c r="K143" s="170">
        <f t="shared" si="93"/>
        <v>400</v>
      </c>
      <c r="L143" s="170">
        <f t="shared" si="93"/>
        <v>400</v>
      </c>
      <c r="M143" s="170">
        <f t="shared" si="93"/>
        <v>800</v>
      </c>
      <c r="N143" s="170">
        <f t="shared" si="93"/>
        <v>800</v>
      </c>
      <c r="O143" s="170">
        <f t="shared" si="93"/>
        <v>1200</v>
      </c>
      <c r="P143" s="170">
        <f t="shared" si="93"/>
        <v>1200</v>
      </c>
      <c r="Q143" s="170"/>
      <c r="R143" s="168"/>
      <c r="S143" s="168"/>
    </row>
    <row r="144" spans="1:19">
      <c r="A144" s="119" t="s">
        <v>79</v>
      </c>
      <c r="E144" s="170">
        <f>E141/1000</f>
        <v>0</v>
      </c>
      <c r="F144" s="170">
        <f t="shared" ref="F144:P144" si="94">F141/1000</f>
        <v>0</v>
      </c>
      <c r="G144" s="170">
        <f t="shared" si="94"/>
        <v>0</v>
      </c>
      <c r="H144" s="170">
        <f t="shared" si="94"/>
        <v>0</v>
      </c>
      <c r="I144" s="170">
        <f t="shared" si="94"/>
        <v>400</v>
      </c>
      <c r="J144" s="170">
        <f t="shared" si="94"/>
        <v>0</v>
      </c>
      <c r="K144" s="170">
        <f t="shared" si="94"/>
        <v>0</v>
      </c>
      <c r="L144" s="170">
        <f t="shared" si="94"/>
        <v>400</v>
      </c>
      <c r="M144" s="170">
        <f t="shared" si="94"/>
        <v>0</v>
      </c>
      <c r="N144" s="170">
        <f>N141/1000</f>
        <v>400</v>
      </c>
      <c r="O144" s="170">
        <f t="shared" si="94"/>
        <v>0</v>
      </c>
      <c r="P144" s="170">
        <f t="shared" si="94"/>
        <v>0</v>
      </c>
      <c r="Q144" s="170"/>
      <c r="R144" s="168"/>
      <c r="S144" s="168"/>
    </row>
    <row r="145" spans="1:19">
      <c r="A145" s="119" t="s">
        <v>80</v>
      </c>
      <c r="E145" s="170">
        <f t="shared" ref="E145:P145" si="95">E143+E144</f>
        <v>0</v>
      </c>
      <c r="F145" s="170">
        <f t="shared" si="95"/>
        <v>0</v>
      </c>
      <c r="G145" s="170">
        <f t="shared" si="95"/>
        <v>0</v>
      </c>
      <c r="H145" s="170">
        <f t="shared" si="95"/>
        <v>0</v>
      </c>
      <c r="I145" s="170">
        <f t="shared" si="95"/>
        <v>400</v>
      </c>
      <c r="J145" s="170">
        <f t="shared" si="95"/>
        <v>400</v>
      </c>
      <c r="K145" s="170">
        <f t="shared" si="95"/>
        <v>400</v>
      </c>
      <c r="L145" s="170">
        <f t="shared" si="95"/>
        <v>800</v>
      </c>
      <c r="M145" s="170">
        <f t="shared" si="95"/>
        <v>800</v>
      </c>
      <c r="N145" s="170">
        <f t="shared" si="95"/>
        <v>1200</v>
      </c>
      <c r="O145" s="170">
        <f t="shared" si="95"/>
        <v>1200</v>
      </c>
      <c r="P145" s="170">
        <f t="shared" si="95"/>
        <v>1200</v>
      </c>
      <c r="Q145" s="170"/>
      <c r="R145" s="168"/>
      <c r="S145" s="168"/>
    </row>
    <row r="146" spans="1:19">
      <c r="A146" s="119" t="s">
        <v>81</v>
      </c>
      <c r="E146" s="170">
        <f t="shared" ref="E146:P146" si="96">(E143+E145)/2</f>
        <v>0</v>
      </c>
      <c r="F146" s="170">
        <f t="shared" si="96"/>
        <v>0</v>
      </c>
      <c r="G146" s="170">
        <f t="shared" si="96"/>
        <v>0</v>
      </c>
      <c r="H146" s="170">
        <f t="shared" si="96"/>
        <v>0</v>
      </c>
      <c r="I146" s="170">
        <f t="shared" si="96"/>
        <v>200</v>
      </c>
      <c r="J146" s="170">
        <f t="shared" si="96"/>
        <v>400</v>
      </c>
      <c r="K146" s="170">
        <f t="shared" si="96"/>
        <v>400</v>
      </c>
      <c r="L146" s="170">
        <f t="shared" si="96"/>
        <v>600</v>
      </c>
      <c r="M146" s="170">
        <f t="shared" si="96"/>
        <v>800</v>
      </c>
      <c r="N146" s="170">
        <f t="shared" si="96"/>
        <v>1000</v>
      </c>
      <c r="O146" s="170">
        <f t="shared" si="96"/>
        <v>1200</v>
      </c>
      <c r="P146" s="170">
        <f t="shared" si="96"/>
        <v>1200</v>
      </c>
      <c r="Q146" s="170"/>
      <c r="R146" s="168"/>
      <c r="S146" s="168"/>
    </row>
    <row r="147" spans="1:19"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68"/>
      <c r="S147" s="168"/>
    </row>
    <row r="148" spans="1:19">
      <c r="R148" s="168"/>
      <c r="S148" s="168"/>
    </row>
    <row r="149" spans="1:19" ht="30">
      <c r="A149" s="166" t="s">
        <v>379</v>
      </c>
      <c r="B149" s="166"/>
      <c r="D149" s="119">
        <f>$C$5</f>
        <v>1</v>
      </c>
      <c r="E149" s="172">
        <f>ROUND(CAP15.3!I145,0)*$D$149</f>
        <v>984667</v>
      </c>
      <c r="F149" s="172">
        <f>ROUND(CAP15.3!J145,0)*$D$149</f>
        <v>976800</v>
      </c>
      <c r="G149" s="172">
        <f>ROUND(CAP15.3!K145,0)*$D$149</f>
        <v>2516319</v>
      </c>
      <c r="H149" s="172">
        <f>ROUND(CAP15.3!L145,0)*$D$149</f>
        <v>693182</v>
      </c>
      <c r="I149" s="172">
        <f>ROUND(CAP15.3!M145,0)*$D$149</f>
        <v>693926</v>
      </c>
      <c r="J149" s="172">
        <f>ROUND(CAP15.3!N145,0)*$D$149</f>
        <v>2233046</v>
      </c>
      <c r="K149" s="172">
        <f>ROUND(CAP15.3!O145,0)*$D$149</f>
        <v>701473</v>
      </c>
      <c r="L149" s="172">
        <f>ROUND(CAP15.3!P145,0)*$D$149</f>
        <v>691512</v>
      </c>
      <c r="M149" s="172">
        <f>ROUND(CAP15.3!Q145,0)*$D$149</f>
        <v>2232752</v>
      </c>
      <c r="N149" s="172">
        <f>ROUND(CAP15.3!R145,0)*$D$149</f>
        <v>977002</v>
      </c>
      <c r="O149" s="172">
        <f>ROUND(CAP15.3!S145,0)*$D$149</f>
        <v>977253</v>
      </c>
      <c r="P149" s="172">
        <f>ROUND(CAP15.3!T145,0)*$D$149</f>
        <v>22265556</v>
      </c>
      <c r="Q149" s="172"/>
      <c r="R149" s="168">
        <f>SUM(E149:P149)/1000</f>
        <v>35943.487999999998</v>
      </c>
      <c r="S149" s="168">
        <f>SUM(E154:P154)/12</f>
        <v>8410.1743333333343</v>
      </c>
    </row>
    <row r="150" spans="1:19">
      <c r="A150" s="169" t="s">
        <v>82</v>
      </c>
      <c r="B150" s="169"/>
      <c r="R150" s="168"/>
      <c r="S150" s="168"/>
    </row>
    <row r="151" spans="1:19">
      <c r="A151" s="119" t="s">
        <v>78</v>
      </c>
      <c r="E151" s="119">
        <v>0</v>
      </c>
      <c r="F151" s="170">
        <f t="shared" ref="F151:P151" si="97">E153</f>
        <v>984.66700000000003</v>
      </c>
      <c r="G151" s="170">
        <f t="shared" si="97"/>
        <v>1961.4670000000001</v>
      </c>
      <c r="H151" s="170">
        <f t="shared" si="97"/>
        <v>4477.7860000000001</v>
      </c>
      <c r="I151" s="170">
        <f t="shared" si="97"/>
        <v>5170.9679999999998</v>
      </c>
      <c r="J151" s="170">
        <f t="shared" si="97"/>
        <v>5864.8940000000002</v>
      </c>
      <c r="K151" s="170">
        <f t="shared" si="97"/>
        <v>8097.9400000000005</v>
      </c>
      <c r="L151" s="170">
        <f t="shared" si="97"/>
        <v>8799.4130000000005</v>
      </c>
      <c r="M151" s="170">
        <f t="shared" si="97"/>
        <v>9490.9250000000011</v>
      </c>
      <c r="N151" s="170">
        <f t="shared" si="97"/>
        <v>11723.677000000001</v>
      </c>
      <c r="O151" s="170">
        <f t="shared" si="97"/>
        <v>12700.679000000002</v>
      </c>
      <c r="P151" s="170">
        <f t="shared" si="97"/>
        <v>13677.932000000003</v>
      </c>
      <c r="Q151" s="170"/>
      <c r="R151" s="168"/>
      <c r="S151" s="168"/>
    </row>
    <row r="152" spans="1:19">
      <c r="A152" s="119" t="s">
        <v>79</v>
      </c>
      <c r="E152" s="170">
        <f>E149/1000</f>
        <v>984.66700000000003</v>
      </c>
      <c r="F152" s="170">
        <f t="shared" ref="F152:P152" si="98">F149/1000</f>
        <v>976.8</v>
      </c>
      <c r="G152" s="170">
        <f t="shared" si="98"/>
        <v>2516.319</v>
      </c>
      <c r="H152" s="170">
        <f t="shared" si="98"/>
        <v>693.18200000000002</v>
      </c>
      <c r="I152" s="170">
        <f t="shared" si="98"/>
        <v>693.92600000000004</v>
      </c>
      <c r="J152" s="170">
        <f t="shared" si="98"/>
        <v>2233.0459999999998</v>
      </c>
      <c r="K152" s="170">
        <f t="shared" si="98"/>
        <v>701.47299999999996</v>
      </c>
      <c r="L152" s="170">
        <f t="shared" si="98"/>
        <v>691.51199999999994</v>
      </c>
      <c r="M152" s="170">
        <f t="shared" si="98"/>
        <v>2232.752</v>
      </c>
      <c r="N152" s="170">
        <f t="shared" si="98"/>
        <v>977.00199999999995</v>
      </c>
      <c r="O152" s="170">
        <f t="shared" si="98"/>
        <v>977.25300000000004</v>
      </c>
      <c r="P152" s="170">
        <f t="shared" si="98"/>
        <v>22265.556</v>
      </c>
      <c r="Q152" s="170"/>
      <c r="R152" s="168"/>
      <c r="S152" s="168"/>
    </row>
    <row r="153" spans="1:19">
      <c r="A153" s="119" t="s">
        <v>80</v>
      </c>
      <c r="E153" s="170">
        <f t="shared" ref="E153:P153" si="99">E151+E152</f>
        <v>984.66700000000003</v>
      </c>
      <c r="F153" s="170">
        <f t="shared" si="99"/>
        <v>1961.4670000000001</v>
      </c>
      <c r="G153" s="170">
        <f t="shared" si="99"/>
        <v>4477.7860000000001</v>
      </c>
      <c r="H153" s="170">
        <f t="shared" si="99"/>
        <v>5170.9679999999998</v>
      </c>
      <c r="I153" s="170">
        <f t="shared" si="99"/>
        <v>5864.8940000000002</v>
      </c>
      <c r="J153" s="170">
        <f t="shared" si="99"/>
        <v>8097.9400000000005</v>
      </c>
      <c r="K153" s="170">
        <f t="shared" si="99"/>
        <v>8799.4130000000005</v>
      </c>
      <c r="L153" s="170">
        <f t="shared" si="99"/>
        <v>9490.9250000000011</v>
      </c>
      <c r="M153" s="170">
        <f t="shared" si="99"/>
        <v>11723.677000000001</v>
      </c>
      <c r="N153" s="170">
        <f t="shared" si="99"/>
        <v>12700.679000000002</v>
      </c>
      <c r="O153" s="170">
        <f t="shared" si="99"/>
        <v>13677.932000000003</v>
      </c>
      <c r="P153" s="170">
        <f t="shared" si="99"/>
        <v>35943.488000000005</v>
      </c>
      <c r="Q153" s="170"/>
      <c r="R153" s="168"/>
      <c r="S153" s="168"/>
    </row>
    <row r="154" spans="1:19">
      <c r="A154" s="119" t="s">
        <v>81</v>
      </c>
      <c r="E154" s="170">
        <f t="shared" ref="E154:P154" si="100">(E151+E153)/2</f>
        <v>492.33350000000002</v>
      </c>
      <c r="F154" s="170">
        <f t="shared" si="100"/>
        <v>1473.067</v>
      </c>
      <c r="G154" s="170">
        <f t="shared" si="100"/>
        <v>3219.6265000000003</v>
      </c>
      <c r="H154" s="170">
        <f t="shared" si="100"/>
        <v>4824.3770000000004</v>
      </c>
      <c r="I154" s="170">
        <f t="shared" si="100"/>
        <v>5517.9310000000005</v>
      </c>
      <c r="J154" s="170">
        <f t="shared" si="100"/>
        <v>6981.4170000000004</v>
      </c>
      <c r="K154" s="170">
        <f t="shared" si="100"/>
        <v>8448.6765000000014</v>
      </c>
      <c r="L154" s="170">
        <f t="shared" si="100"/>
        <v>9145.1690000000017</v>
      </c>
      <c r="M154" s="170">
        <f t="shared" si="100"/>
        <v>10607.301000000001</v>
      </c>
      <c r="N154" s="170">
        <f t="shared" si="100"/>
        <v>12212.178000000002</v>
      </c>
      <c r="O154" s="170">
        <f t="shared" si="100"/>
        <v>13189.305500000002</v>
      </c>
      <c r="P154" s="170">
        <f t="shared" si="100"/>
        <v>24810.710000000003</v>
      </c>
      <c r="Q154" s="170"/>
      <c r="R154" s="168"/>
      <c r="S154" s="168"/>
    </row>
    <row r="155" spans="1:19">
      <c r="R155" s="168"/>
      <c r="S155" s="168"/>
    </row>
    <row r="156" spans="1:19" ht="30">
      <c r="A156" s="166" t="s">
        <v>307</v>
      </c>
      <c r="B156" s="166"/>
      <c r="D156" s="119">
        <f>$C$5</f>
        <v>1</v>
      </c>
      <c r="E156" s="172">
        <f>ROUND(CAP15.3!I156,0)*$D$149</f>
        <v>20833</v>
      </c>
      <c r="F156" s="172">
        <f>ROUND(CAP15.3!J156,0)*$D$149</f>
        <v>20833</v>
      </c>
      <c r="G156" s="172">
        <f>ROUND(CAP15.3!K156,0)*$D$149</f>
        <v>20833</v>
      </c>
      <c r="H156" s="172">
        <f>ROUND(CAP15.3!L156,0)*$D$149</f>
        <v>20833</v>
      </c>
      <c r="I156" s="172">
        <f>ROUND(CAP15.3!M156,0)*$D$149</f>
        <v>20833</v>
      </c>
      <c r="J156" s="172">
        <f>ROUND(CAP15.3!N156,0)*$D$149</f>
        <v>20833</v>
      </c>
      <c r="K156" s="172">
        <f>ROUND(CAP15.3!O156,0)*$D$149</f>
        <v>20833</v>
      </c>
      <c r="L156" s="172">
        <f>ROUND(CAP15.3!P156,0)*$D$149</f>
        <v>20833</v>
      </c>
      <c r="M156" s="172">
        <f>ROUND(CAP15.3!Q156,0)*$D$149</f>
        <v>20833</v>
      </c>
      <c r="N156" s="172">
        <f>ROUND(CAP15.3!R156,0)*$D$149</f>
        <v>20833</v>
      </c>
      <c r="O156" s="172">
        <f>ROUND(CAP15.3!S156,0)*$D$149</f>
        <v>739861</v>
      </c>
      <c r="P156" s="172">
        <f>ROUND(CAP15.3!T156,0)*$D$156</f>
        <v>20833</v>
      </c>
      <c r="Q156" s="172"/>
      <c r="R156" s="168">
        <f>SUM(E156:P156)/1000</f>
        <v>969.024</v>
      </c>
      <c r="S156" s="168">
        <f>SUM(E161:P161)/12</f>
        <v>214.87649999999999</v>
      </c>
    </row>
    <row r="157" spans="1:19">
      <c r="A157" s="169" t="s">
        <v>82</v>
      </c>
      <c r="B157" s="169"/>
      <c r="R157" s="168"/>
      <c r="S157" s="168"/>
    </row>
    <row r="158" spans="1:19">
      <c r="A158" s="119" t="s">
        <v>78</v>
      </c>
      <c r="E158" s="119">
        <v>0</v>
      </c>
      <c r="F158" s="170">
        <f t="shared" ref="F158" si="101">E160</f>
        <v>20.832999999999998</v>
      </c>
      <c r="G158" s="170">
        <f t="shared" ref="G158" si="102">F160</f>
        <v>41.665999999999997</v>
      </c>
      <c r="H158" s="170">
        <f t="shared" ref="H158" si="103">G160</f>
        <v>62.498999999999995</v>
      </c>
      <c r="I158" s="170">
        <f t="shared" ref="I158" si="104">H160</f>
        <v>83.331999999999994</v>
      </c>
      <c r="J158" s="170">
        <f t="shared" ref="J158" si="105">I160</f>
        <v>104.16499999999999</v>
      </c>
      <c r="K158" s="170">
        <f t="shared" ref="K158" si="106">J160</f>
        <v>124.99799999999999</v>
      </c>
      <c r="L158" s="170">
        <f t="shared" ref="L158" si="107">K160</f>
        <v>145.83099999999999</v>
      </c>
      <c r="M158" s="170">
        <f t="shared" ref="M158" si="108">L160</f>
        <v>166.66399999999999</v>
      </c>
      <c r="N158" s="170">
        <f t="shared" ref="N158" si="109">M160</f>
        <v>187.49699999999999</v>
      </c>
      <c r="O158" s="170">
        <f t="shared" ref="O158" si="110">N160</f>
        <v>208.32999999999998</v>
      </c>
      <c r="P158" s="170">
        <f t="shared" ref="P158" si="111">O160</f>
        <v>948.19100000000003</v>
      </c>
      <c r="Q158" s="170"/>
      <c r="R158" s="168"/>
      <c r="S158" s="168"/>
    </row>
    <row r="159" spans="1:19">
      <c r="A159" s="119" t="s">
        <v>79</v>
      </c>
      <c r="E159" s="170">
        <f>E156/1000</f>
        <v>20.832999999999998</v>
      </c>
      <c r="F159" s="170">
        <f t="shared" ref="F159:P159" si="112">F156/1000</f>
        <v>20.832999999999998</v>
      </c>
      <c r="G159" s="170">
        <f t="shared" si="112"/>
        <v>20.832999999999998</v>
      </c>
      <c r="H159" s="170">
        <f t="shared" si="112"/>
        <v>20.832999999999998</v>
      </c>
      <c r="I159" s="170">
        <f t="shared" si="112"/>
        <v>20.832999999999998</v>
      </c>
      <c r="J159" s="170">
        <f t="shared" si="112"/>
        <v>20.832999999999998</v>
      </c>
      <c r="K159" s="170">
        <f t="shared" si="112"/>
        <v>20.832999999999998</v>
      </c>
      <c r="L159" s="170">
        <f t="shared" si="112"/>
        <v>20.832999999999998</v>
      </c>
      <c r="M159" s="170">
        <f t="shared" si="112"/>
        <v>20.832999999999998</v>
      </c>
      <c r="N159" s="170">
        <f t="shared" si="112"/>
        <v>20.832999999999998</v>
      </c>
      <c r="O159" s="170">
        <f t="shared" si="112"/>
        <v>739.86099999999999</v>
      </c>
      <c r="P159" s="170">
        <f t="shared" si="112"/>
        <v>20.832999999999998</v>
      </c>
      <c r="Q159" s="170"/>
      <c r="R159" s="168"/>
      <c r="S159" s="168"/>
    </row>
    <row r="160" spans="1:19">
      <c r="A160" s="119" t="s">
        <v>80</v>
      </c>
      <c r="E160" s="170">
        <f t="shared" ref="E160:P160" si="113">E158+E159</f>
        <v>20.832999999999998</v>
      </c>
      <c r="F160" s="170">
        <f t="shared" si="113"/>
        <v>41.665999999999997</v>
      </c>
      <c r="G160" s="170">
        <f t="shared" si="113"/>
        <v>62.498999999999995</v>
      </c>
      <c r="H160" s="170">
        <f t="shared" si="113"/>
        <v>83.331999999999994</v>
      </c>
      <c r="I160" s="170">
        <f t="shared" si="113"/>
        <v>104.16499999999999</v>
      </c>
      <c r="J160" s="170">
        <f t="shared" si="113"/>
        <v>124.99799999999999</v>
      </c>
      <c r="K160" s="170">
        <f t="shared" si="113"/>
        <v>145.83099999999999</v>
      </c>
      <c r="L160" s="170">
        <f t="shared" si="113"/>
        <v>166.66399999999999</v>
      </c>
      <c r="M160" s="170">
        <f t="shared" si="113"/>
        <v>187.49699999999999</v>
      </c>
      <c r="N160" s="170">
        <f t="shared" si="113"/>
        <v>208.32999999999998</v>
      </c>
      <c r="O160" s="170">
        <f t="shared" si="113"/>
        <v>948.19100000000003</v>
      </c>
      <c r="P160" s="170">
        <f t="shared" si="113"/>
        <v>969.024</v>
      </c>
      <c r="Q160" s="170"/>
      <c r="R160" s="168"/>
      <c r="S160" s="168"/>
    </row>
    <row r="161" spans="1:19">
      <c r="A161" s="119" t="s">
        <v>81</v>
      </c>
      <c r="E161" s="170">
        <f t="shared" ref="E161:P161" si="114">(E158+E160)/2</f>
        <v>10.416499999999999</v>
      </c>
      <c r="F161" s="170">
        <f t="shared" si="114"/>
        <v>31.249499999999998</v>
      </c>
      <c r="G161" s="170">
        <f t="shared" si="114"/>
        <v>52.082499999999996</v>
      </c>
      <c r="H161" s="170">
        <f t="shared" si="114"/>
        <v>72.915499999999994</v>
      </c>
      <c r="I161" s="170">
        <f t="shared" si="114"/>
        <v>93.748499999999993</v>
      </c>
      <c r="J161" s="170">
        <f t="shared" si="114"/>
        <v>114.58149999999999</v>
      </c>
      <c r="K161" s="170">
        <f t="shared" si="114"/>
        <v>135.41449999999998</v>
      </c>
      <c r="L161" s="170">
        <f t="shared" si="114"/>
        <v>156.2475</v>
      </c>
      <c r="M161" s="170">
        <f t="shared" si="114"/>
        <v>177.08049999999997</v>
      </c>
      <c r="N161" s="170">
        <f t="shared" si="114"/>
        <v>197.9135</v>
      </c>
      <c r="O161" s="170">
        <f t="shared" si="114"/>
        <v>578.26049999999998</v>
      </c>
      <c r="P161" s="170">
        <f t="shared" si="114"/>
        <v>958.60750000000007</v>
      </c>
      <c r="Q161" s="170"/>
      <c r="R161" s="168"/>
      <c r="S161" s="168"/>
    </row>
    <row r="162" spans="1:19">
      <c r="R162" s="168"/>
      <c r="S162" s="168"/>
    </row>
    <row r="163" spans="1:19" ht="30">
      <c r="A163" s="166" t="s">
        <v>381</v>
      </c>
      <c r="B163" s="166"/>
      <c r="D163" s="119">
        <f>$C$5</f>
        <v>1</v>
      </c>
      <c r="E163" s="172">
        <f>ROUND(CAP15.3!I153,0)*$D$163</f>
        <v>0</v>
      </c>
      <c r="F163" s="172">
        <f>ROUND(CAP15.3!J153,0)*$D$163</f>
        <v>0</v>
      </c>
      <c r="G163" s="172">
        <f>ROUND(CAP15.3!K153,0)*$D$163</f>
        <v>0</v>
      </c>
      <c r="H163" s="172">
        <f>ROUND(CAP15.3!L153,0)*$D$163</f>
        <v>0</v>
      </c>
      <c r="I163" s="172">
        <f>ROUND(CAP15.3!M153,0)*$D$163</f>
        <v>0</v>
      </c>
      <c r="J163" s="172">
        <f>ROUND(CAP15.3!N153,0)*$D$163</f>
        <v>0</v>
      </c>
      <c r="K163" s="172">
        <f>ROUND(CAP15.3!O153,0)*$D$163</f>
        <v>0</v>
      </c>
      <c r="L163" s="172">
        <f>ROUND(CAP15.3!P153,0)*$D$163</f>
        <v>0</v>
      </c>
      <c r="M163" s="172">
        <f>ROUND(CAP15.3!Q153,0)*$D$163</f>
        <v>0</v>
      </c>
      <c r="N163" s="172">
        <f>ROUND(CAP15.3!R153,0)*$D$163</f>
        <v>0</v>
      </c>
      <c r="O163" s="172">
        <f>ROUND(CAP15.3!S153,0)*$D$163</f>
        <v>0</v>
      </c>
      <c r="P163" s="172">
        <f>ROUND(CAP15.3!T153,0)*$D$163</f>
        <v>2750000</v>
      </c>
      <c r="Q163" s="172"/>
      <c r="R163" s="168">
        <f>SUM(E163:P163)/1000</f>
        <v>2750</v>
      </c>
      <c r="S163" s="168">
        <f>SUM(E168:P168)/12</f>
        <v>114.58333333333333</v>
      </c>
    </row>
    <row r="164" spans="1:19">
      <c r="A164" s="169" t="s">
        <v>82</v>
      </c>
      <c r="B164" s="169"/>
      <c r="R164" s="168"/>
      <c r="S164" s="168"/>
    </row>
    <row r="165" spans="1:19">
      <c r="A165" s="119" t="s">
        <v>78</v>
      </c>
      <c r="E165" s="119">
        <v>0</v>
      </c>
      <c r="F165" s="170">
        <f t="shared" ref="F165" si="115">E167</f>
        <v>0</v>
      </c>
      <c r="G165" s="170">
        <f t="shared" ref="G165" si="116">F167</f>
        <v>0</v>
      </c>
      <c r="H165" s="170">
        <f t="shared" ref="H165" si="117">G167</f>
        <v>0</v>
      </c>
      <c r="I165" s="170">
        <f t="shared" ref="I165" si="118">H167</f>
        <v>0</v>
      </c>
      <c r="J165" s="170">
        <f t="shared" ref="J165" si="119">I167</f>
        <v>0</v>
      </c>
      <c r="K165" s="170">
        <f t="shared" ref="K165" si="120">J167</f>
        <v>0</v>
      </c>
      <c r="L165" s="170">
        <f t="shared" ref="L165" si="121">K167</f>
        <v>0</v>
      </c>
      <c r="M165" s="170">
        <f t="shared" ref="M165" si="122">L167</f>
        <v>0</v>
      </c>
      <c r="N165" s="170">
        <f t="shared" ref="N165" si="123">M167</f>
        <v>0</v>
      </c>
      <c r="O165" s="170">
        <f t="shared" ref="O165" si="124">N167</f>
        <v>0</v>
      </c>
      <c r="P165" s="170">
        <f t="shared" ref="P165" si="125">O167</f>
        <v>0</v>
      </c>
      <c r="Q165" s="170"/>
      <c r="R165" s="168"/>
      <c r="S165" s="168"/>
    </row>
    <row r="166" spans="1:19">
      <c r="A166" s="119" t="s">
        <v>79</v>
      </c>
      <c r="E166" s="170">
        <f>E163/1000</f>
        <v>0</v>
      </c>
      <c r="F166" s="170">
        <f t="shared" ref="F166:P166" si="126">F163/1000</f>
        <v>0</v>
      </c>
      <c r="G166" s="170">
        <f t="shared" si="126"/>
        <v>0</v>
      </c>
      <c r="H166" s="170">
        <f t="shared" si="126"/>
        <v>0</v>
      </c>
      <c r="I166" s="170">
        <f t="shared" si="126"/>
        <v>0</v>
      </c>
      <c r="J166" s="170">
        <f t="shared" si="126"/>
        <v>0</v>
      </c>
      <c r="K166" s="170">
        <f t="shared" si="126"/>
        <v>0</v>
      </c>
      <c r="L166" s="170">
        <f t="shared" si="126"/>
        <v>0</v>
      </c>
      <c r="M166" s="170">
        <f t="shared" si="126"/>
        <v>0</v>
      </c>
      <c r="N166" s="170">
        <f t="shared" si="126"/>
        <v>0</v>
      </c>
      <c r="O166" s="170">
        <f t="shared" si="126"/>
        <v>0</v>
      </c>
      <c r="P166" s="170">
        <f t="shared" si="126"/>
        <v>2750</v>
      </c>
      <c r="Q166" s="170"/>
      <c r="R166" s="168"/>
      <c r="S166" s="168"/>
    </row>
    <row r="167" spans="1:19">
      <c r="A167" s="119" t="s">
        <v>80</v>
      </c>
      <c r="E167" s="170">
        <f t="shared" ref="E167:P167" si="127">E165+E166</f>
        <v>0</v>
      </c>
      <c r="F167" s="170">
        <f t="shared" si="127"/>
        <v>0</v>
      </c>
      <c r="G167" s="170">
        <f t="shared" si="127"/>
        <v>0</v>
      </c>
      <c r="H167" s="170">
        <f t="shared" si="127"/>
        <v>0</v>
      </c>
      <c r="I167" s="170">
        <f t="shared" si="127"/>
        <v>0</v>
      </c>
      <c r="J167" s="170">
        <f t="shared" si="127"/>
        <v>0</v>
      </c>
      <c r="K167" s="170">
        <f t="shared" si="127"/>
        <v>0</v>
      </c>
      <c r="L167" s="170">
        <f t="shared" si="127"/>
        <v>0</v>
      </c>
      <c r="M167" s="170">
        <f t="shared" si="127"/>
        <v>0</v>
      </c>
      <c r="N167" s="170">
        <f t="shared" si="127"/>
        <v>0</v>
      </c>
      <c r="O167" s="170">
        <f t="shared" si="127"/>
        <v>0</v>
      </c>
      <c r="P167" s="170">
        <f t="shared" si="127"/>
        <v>2750</v>
      </c>
      <c r="Q167" s="170"/>
      <c r="R167" s="168"/>
      <c r="S167" s="168"/>
    </row>
    <row r="168" spans="1:19">
      <c r="A168" s="119" t="s">
        <v>81</v>
      </c>
      <c r="E168" s="170">
        <f t="shared" ref="E168:P168" si="128">(E165+E167)/2</f>
        <v>0</v>
      </c>
      <c r="F168" s="170">
        <f t="shared" si="128"/>
        <v>0</v>
      </c>
      <c r="G168" s="170">
        <f t="shared" si="128"/>
        <v>0</v>
      </c>
      <c r="H168" s="170">
        <f t="shared" si="128"/>
        <v>0</v>
      </c>
      <c r="I168" s="170">
        <f t="shared" si="128"/>
        <v>0</v>
      </c>
      <c r="J168" s="170">
        <f t="shared" si="128"/>
        <v>0</v>
      </c>
      <c r="K168" s="170">
        <f t="shared" si="128"/>
        <v>0</v>
      </c>
      <c r="L168" s="170">
        <f t="shared" si="128"/>
        <v>0</v>
      </c>
      <c r="M168" s="170">
        <f t="shared" si="128"/>
        <v>0</v>
      </c>
      <c r="N168" s="170">
        <f t="shared" si="128"/>
        <v>0</v>
      </c>
      <c r="O168" s="170">
        <f t="shared" si="128"/>
        <v>0</v>
      </c>
      <c r="P168" s="170">
        <f t="shared" si="128"/>
        <v>1375</v>
      </c>
      <c r="Q168" s="170"/>
      <c r="R168" s="168"/>
      <c r="S168" s="168"/>
    </row>
    <row r="169" spans="1:19"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68"/>
      <c r="S169" s="168"/>
    </row>
    <row r="170" spans="1:19" ht="30">
      <c r="A170" s="166" t="s">
        <v>383</v>
      </c>
      <c r="B170" s="166"/>
      <c r="D170" s="119">
        <f>$C$5</f>
        <v>1</v>
      </c>
      <c r="E170" s="172">
        <f>ROUND(CAP15.3!I147,0)*$D$170</f>
        <v>0</v>
      </c>
      <c r="F170" s="172">
        <f>ROUND(CAP15.3!J147,0)*$D$170</f>
        <v>0</v>
      </c>
      <c r="G170" s="172">
        <f>ROUND(CAP15.3!K147,0)*$D$170</f>
        <v>0</v>
      </c>
      <c r="H170" s="172">
        <f>ROUND(CAP15.3!L147,0)*$D$170</f>
        <v>2741974</v>
      </c>
      <c r="I170" s="172">
        <f>ROUND(CAP15.3!M147,0)*$D$170</f>
        <v>0</v>
      </c>
      <c r="J170" s="172">
        <f>ROUND(CAP15.3!N147,0)*$D$170</f>
        <v>0</v>
      </c>
      <c r="K170" s="172">
        <f>ROUND(CAP15.3!O147,0)*$D$170</f>
        <v>0</v>
      </c>
      <c r="L170" s="172">
        <f>ROUND(CAP15.3!P147,0)*$D$170</f>
        <v>1458026</v>
      </c>
      <c r="M170" s="172">
        <f>ROUND(CAP15.3!Q147,0)*$D$170</f>
        <v>0</v>
      </c>
      <c r="N170" s="172">
        <f>ROUND(CAP15.3!R147,0)*$D$170</f>
        <v>0</v>
      </c>
      <c r="O170" s="172">
        <f>ROUND(CAP15.3!S147,0)*$D$170</f>
        <v>0</v>
      </c>
      <c r="P170" s="172">
        <f>ROUND(CAP15.3!T147,0)*$D$170</f>
        <v>0</v>
      </c>
      <c r="Q170" s="172"/>
      <c r="R170" s="168">
        <f>SUM(E170:P170)/1000</f>
        <v>4200</v>
      </c>
      <c r="S170" s="168">
        <f>SUM(E175:P175)/12</f>
        <v>2488.9913333333334</v>
      </c>
    </row>
    <row r="171" spans="1:19">
      <c r="A171" s="169" t="s">
        <v>82</v>
      </c>
      <c r="B171" s="169"/>
      <c r="R171" s="168"/>
      <c r="S171" s="168"/>
    </row>
    <row r="172" spans="1:19">
      <c r="A172" s="119" t="s">
        <v>78</v>
      </c>
      <c r="E172" s="119">
        <v>0</v>
      </c>
      <c r="F172" s="170">
        <f t="shared" ref="F172" si="129">E174</f>
        <v>0</v>
      </c>
      <c r="G172" s="170">
        <f t="shared" ref="G172" si="130">F174</f>
        <v>0</v>
      </c>
      <c r="H172" s="170">
        <f t="shared" ref="H172" si="131">G174</f>
        <v>0</v>
      </c>
      <c r="I172" s="170">
        <f t="shared" ref="I172" si="132">H174</f>
        <v>2741.9740000000002</v>
      </c>
      <c r="J172" s="170">
        <f t="shared" ref="J172" si="133">I174</f>
        <v>2741.9740000000002</v>
      </c>
      <c r="K172" s="170">
        <f t="shared" ref="K172" si="134">J174</f>
        <v>2741.9740000000002</v>
      </c>
      <c r="L172" s="170">
        <f t="shared" ref="L172" si="135">K174</f>
        <v>2741.9740000000002</v>
      </c>
      <c r="M172" s="170">
        <f t="shared" ref="M172" si="136">L174</f>
        <v>4200</v>
      </c>
      <c r="N172" s="170">
        <f t="shared" ref="N172" si="137">M174</f>
        <v>4200</v>
      </c>
      <c r="O172" s="170">
        <f t="shared" ref="O172" si="138">N174</f>
        <v>4200</v>
      </c>
      <c r="P172" s="170">
        <f t="shared" ref="P172" si="139">O174</f>
        <v>4200</v>
      </c>
      <c r="Q172" s="170"/>
      <c r="R172" s="168"/>
      <c r="S172" s="168"/>
    </row>
    <row r="173" spans="1:19">
      <c r="A173" s="119" t="s">
        <v>79</v>
      </c>
      <c r="E173" s="170">
        <f>E170/1000</f>
        <v>0</v>
      </c>
      <c r="F173" s="170">
        <f t="shared" ref="F173:P173" si="140">F170/1000</f>
        <v>0</v>
      </c>
      <c r="G173" s="170">
        <f t="shared" si="140"/>
        <v>0</v>
      </c>
      <c r="H173" s="170">
        <f t="shared" si="140"/>
        <v>2741.9740000000002</v>
      </c>
      <c r="I173" s="170">
        <f t="shared" si="140"/>
        <v>0</v>
      </c>
      <c r="J173" s="170">
        <f t="shared" si="140"/>
        <v>0</v>
      </c>
      <c r="K173" s="170">
        <f t="shared" si="140"/>
        <v>0</v>
      </c>
      <c r="L173" s="170">
        <f t="shared" si="140"/>
        <v>1458.0260000000001</v>
      </c>
      <c r="M173" s="170">
        <f t="shared" si="140"/>
        <v>0</v>
      </c>
      <c r="N173" s="170">
        <f t="shared" si="140"/>
        <v>0</v>
      </c>
      <c r="O173" s="170">
        <f t="shared" si="140"/>
        <v>0</v>
      </c>
      <c r="P173" s="170">
        <f t="shared" si="140"/>
        <v>0</v>
      </c>
      <c r="Q173" s="170"/>
      <c r="R173" s="168"/>
      <c r="S173" s="168"/>
    </row>
    <row r="174" spans="1:19">
      <c r="A174" s="119" t="s">
        <v>80</v>
      </c>
      <c r="E174" s="170">
        <f t="shared" ref="E174:P174" si="141">E172+E173</f>
        <v>0</v>
      </c>
      <c r="F174" s="170">
        <f t="shared" si="141"/>
        <v>0</v>
      </c>
      <c r="G174" s="170">
        <f t="shared" si="141"/>
        <v>0</v>
      </c>
      <c r="H174" s="170">
        <f t="shared" si="141"/>
        <v>2741.9740000000002</v>
      </c>
      <c r="I174" s="170">
        <f t="shared" si="141"/>
        <v>2741.9740000000002</v>
      </c>
      <c r="J174" s="170">
        <f t="shared" si="141"/>
        <v>2741.9740000000002</v>
      </c>
      <c r="K174" s="170">
        <f t="shared" si="141"/>
        <v>2741.9740000000002</v>
      </c>
      <c r="L174" s="170">
        <f t="shared" si="141"/>
        <v>4200</v>
      </c>
      <c r="M174" s="170">
        <f t="shared" si="141"/>
        <v>4200</v>
      </c>
      <c r="N174" s="170">
        <f t="shared" si="141"/>
        <v>4200</v>
      </c>
      <c r="O174" s="170">
        <f t="shared" si="141"/>
        <v>4200</v>
      </c>
      <c r="P174" s="170">
        <f t="shared" si="141"/>
        <v>4200</v>
      </c>
      <c r="Q174" s="170"/>
      <c r="R174" s="168"/>
      <c r="S174" s="168"/>
    </row>
    <row r="175" spans="1:19">
      <c r="A175" s="119" t="s">
        <v>81</v>
      </c>
      <c r="E175" s="170">
        <f t="shared" ref="E175:P175" si="142">(E172+E174)/2</f>
        <v>0</v>
      </c>
      <c r="F175" s="170">
        <f t="shared" si="142"/>
        <v>0</v>
      </c>
      <c r="G175" s="170">
        <f t="shared" si="142"/>
        <v>0</v>
      </c>
      <c r="H175" s="170">
        <f t="shared" si="142"/>
        <v>1370.9870000000001</v>
      </c>
      <c r="I175" s="170">
        <f t="shared" si="142"/>
        <v>2741.9740000000002</v>
      </c>
      <c r="J175" s="170">
        <f t="shared" si="142"/>
        <v>2741.9740000000002</v>
      </c>
      <c r="K175" s="170">
        <f t="shared" si="142"/>
        <v>2741.9740000000002</v>
      </c>
      <c r="L175" s="170">
        <f t="shared" si="142"/>
        <v>3470.9870000000001</v>
      </c>
      <c r="M175" s="170">
        <f t="shared" si="142"/>
        <v>4200</v>
      </c>
      <c r="N175" s="170">
        <f t="shared" si="142"/>
        <v>4200</v>
      </c>
      <c r="O175" s="170">
        <f t="shared" si="142"/>
        <v>4200</v>
      </c>
      <c r="P175" s="170">
        <f t="shared" si="142"/>
        <v>4200</v>
      </c>
      <c r="Q175" s="170"/>
      <c r="R175" s="168"/>
      <c r="S175" s="168"/>
    </row>
    <row r="176" spans="1:19"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68"/>
      <c r="S176" s="168"/>
    </row>
    <row r="177" spans="1:19" ht="30">
      <c r="A177" s="166" t="s">
        <v>382</v>
      </c>
      <c r="B177" s="166"/>
      <c r="D177" s="119">
        <f>$C$5</f>
        <v>1</v>
      </c>
      <c r="E177" s="172">
        <f>ROUND(CAP15.3!I149,0)*$D$170</f>
        <v>0</v>
      </c>
      <c r="F177" s="172">
        <f>ROUND(CAP15.3!J149,0)*$D$170</f>
        <v>0</v>
      </c>
      <c r="G177" s="172">
        <f>ROUND(CAP15.3!K149,0)*$D$170</f>
        <v>0</v>
      </c>
      <c r="H177" s="172">
        <f>ROUND(CAP15.3!L149,0)*$D$170</f>
        <v>0</v>
      </c>
      <c r="I177" s="172">
        <f>ROUND(CAP15.3!M149,0)*$D$170</f>
        <v>0</v>
      </c>
      <c r="J177" s="172">
        <f>ROUND(CAP15.3!N149,0)*$D$170</f>
        <v>0</v>
      </c>
      <c r="K177" s="172">
        <f>ROUND(CAP15.3!O149,0)*$D$170</f>
        <v>0</v>
      </c>
      <c r="L177" s="172">
        <f>ROUND(CAP15.3!P149,0)*$D$170</f>
        <v>0</v>
      </c>
      <c r="M177" s="172">
        <f>ROUND(CAP15.3!Q149,0)*$D$170</f>
        <v>0</v>
      </c>
      <c r="N177" s="172">
        <f>ROUND(CAP15.3!R149,0)*$D$170</f>
        <v>0</v>
      </c>
      <c r="O177" s="172">
        <f>ROUND(CAP15.3!S149,0)*$D$170</f>
        <v>0</v>
      </c>
      <c r="P177" s="172">
        <f>ROUND(CAP15.3!T149,0)*$D$170</f>
        <v>500000</v>
      </c>
      <c r="Q177" s="172"/>
      <c r="R177" s="168">
        <f>SUM(E177:P177)/1000</f>
        <v>500</v>
      </c>
      <c r="S177" s="168">
        <f>SUM(E182:P182)/12</f>
        <v>20.833333333333332</v>
      </c>
    </row>
    <row r="178" spans="1:19">
      <c r="A178" s="169" t="s">
        <v>82</v>
      </c>
      <c r="B178" s="169"/>
      <c r="R178" s="168"/>
      <c r="S178" s="168"/>
    </row>
    <row r="179" spans="1:19">
      <c r="A179" s="119" t="s">
        <v>78</v>
      </c>
      <c r="E179" s="119">
        <v>0</v>
      </c>
      <c r="F179" s="170">
        <f t="shared" ref="F179" si="143">E181</f>
        <v>0</v>
      </c>
      <c r="G179" s="170">
        <f t="shared" ref="G179" si="144">F181</f>
        <v>0</v>
      </c>
      <c r="H179" s="170">
        <f t="shared" ref="H179" si="145">G181</f>
        <v>0</v>
      </c>
      <c r="I179" s="170">
        <f t="shared" ref="I179" si="146">H181</f>
        <v>0</v>
      </c>
      <c r="J179" s="170">
        <f t="shared" ref="J179" si="147">I181</f>
        <v>0</v>
      </c>
      <c r="K179" s="170">
        <f t="shared" ref="K179" si="148">J181</f>
        <v>0</v>
      </c>
      <c r="L179" s="170">
        <f t="shared" ref="L179" si="149">K181</f>
        <v>0</v>
      </c>
      <c r="M179" s="170">
        <f t="shared" ref="M179" si="150">L181</f>
        <v>0</v>
      </c>
      <c r="N179" s="170">
        <f t="shared" ref="N179" si="151">M181</f>
        <v>0</v>
      </c>
      <c r="O179" s="170">
        <f t="shared" ref="O179" si="152">N181</f>
        <v>0</v>
      </c>
      <c r="P179" s="170">
        <f t="shared" ref="P179" si="153">O181</f>
        <v>0</v>
      </c>
      <c r="Q179" s="170"/>
      <c r="R179" s="168"/>
      <c r="S179" s="168"/>
    </row>
    <row r="180" spans="1:19">
      <c r="A180" s="119" t="s">
        <v>79</v>
      </c>
      <c r="E180" s="170">
        <f>E177/1000</f>
        <v>0</v>
      </c>
      <c r="F180" s="170">
        <f t="shared" ref="F180:P180" si="154">F177/1000</f>
        <v>0</v>
      </c>
      <c r="G180" s="170">
        <f t="shared" si="154"/>
        <v>0</v>
      </c>
      <c r="H180" s="170">
        <f t="shared" si="154"/>
        <v>0</v>
      </c>
      <c r="I180" s="170">
        <f t="shared" si="154"/>
        <v>0</v>
      </c>
      <c r="J180" s="170">
        <f t="shared" si="154"/>
        <v>0</v>
      </c>
      <c r="K180" s="170">
        <f t="shared" si="154"/>
        <v>0</v>
      </c>
      <c r="L180" s="170">
        <f t="shared" si="154"/>
        <v>0</v>
      </c>
      <c r="M180" s="170">
        <f t="shared" si="154"/>
        <v>0</v>
      </c>
      <c r="N180" s="170">
        <f t="shared" si="154"/>
        <v>0</v>
      </c>
      <c r="O180" s="170">
        <f t="shared" si="154"/>
        <v>0</v>
      </c>
      <c r="P180" s="170">
        <f t="shared" si="154"/>
        <v>500</v>
      </c>
      <c r="Q180" s="170"/>
      <c r="R180" s="168"/>
      <c r="S180" s="168"/>
    </row>
    <row r="181" spans="1:19">
      <c r="A181" s="119" t="s">
        <v>80</v>
      </c>
      <c r="E181" s="170">
        <f t="shared" ref="E181:P181" si="155">E179+E180</f>
        <v>0</v>
      </c>
      <c r="F181" s="170">
        <f t="shared" si="155"/>
        <v>0</v>
      </c>
      <c r="G181" s="170">
        <f t="shared" si="155"/>
        <v>0</v>
      </c>
      <c r="H181" s="170">
        <f t="shared" si="155"/>
        <v>0</v>
      </c>
      <c r="I181" s="170">
        <f t="shared" si="155"/>
        <v>0</v>
      </c>
      <c r="J181" s="170">
        <f t="shared" si="155"/>
        <v>0</v>
      </c>
      <c r="K181" s="170">
        <f t="shared" si="155"/>
        <v>0</v>
      </c>
      <c r="L181" s="170">
        <f t="shared" si="155"/>
        <v>0</v>
      </c>
      <c r="M181" s="170">
        <f t="shared" si="155"/>
        <v>0</v>
      </c>
      <c r="N181" s="170">
        <f t="shared" si="155"/>
        <v>0</v>
      </c>
      <c r="O181" s="170">
        <f t="shared" si="155"/>
        <v>0</v>
      </c>
      <c r="P181" s="170">
        <f t="shared" si="155"/>
        <v>500</v>
      </c>
      <c r="Q181" s="170"/>
      <c r="R181" s="168"/>
      <c r="S181" s="168"/>
    </row>
    <row r="182" spans="1:19">
      <c r="A182" s="119" t="s">
        <v>81</v>
      </c>
      <c r="E182" s="170">
        <f t="shared" ref="E182:P182" si="156">(E179+E181)/2</f>
        <v>0</v>
      </c>
      <c r="F182" s="170">
        <f t="shared" si="156"/>
        <v>0</v>
      </c>
      <c r="G182" s="170">
        <f t="shared" si="156"/>
        <v>0</v>
      </c>
      <c r="H182" s="170">
        <f t="shared" si="156"/>
        <v>0</v>
      </c>
      <c r="I182" s="170">
        <f t="shared" si="156"/>
        <v>0</v>
      </c>
      <c r="J182" s="170">
        <f t="shared" si="156"/>
        <v>0</v>
      </c>
      <c r="K182" s="170">
        <f t="shared" si="156"/>
        <v>0</v>
      </c>
      <c r="L182" s="170">
        <f t="shared" si="156"/>
        <v>0</v>
      </c>
      <c r="M182" s="170">
        <f t="shared" si="156"/>
        <v>0</v>
      </c>
      <c r="N182" s="170">
        <f t="shared" si="156"/>
        <v>0</v>
      </c>
      <c r="O182" s="170">
        <f t="shared" si="156"/>
        <v>0</v>
      </c>
      <c r="P182" s="170">
        <f t="shared" si="156"/>
        <v>250</v>
      </c>
      <c r="Q182" s="170"/>
      <c r="R182" s="168"/>
      <c r="S182" s="168"/>
    </row>
    <row r="183" spans="1:19">
      <c r="R183" s="168"/>
      <c r="S183" s="168"/>
    </row>
    <row r="184" spans="1:19">
      <c r="R184" s="168"/>
      <c r="S184" s="168"/>
    </row>
    <row r="185" spans="1:19">
      <c r="R185" s="168"/>
      <c r="S185" s="168"/>
    </row>
    <row r="186" spans="1:19" ht="30">
      <c r="A186" s="174" t="s">
        <v>84</v>
      </c>
      <c r="B186" s="174"/>
      <c r="D186" s="119">
        <f>$C$5</f>
        <v>1</v>
      </c>
      <c r="E186" s="172">
        <f>ROUND(CAP15.3!I205,0)*$D$186</f>
        <v>643409</v>
      </c>
      <c r="F186" s="172">
        <f>ROUND(CAP15.3!J205,0)*$D$186</f>
        <v>641463</v>
      </c>
      <c r="G186" s="172">
        <f>ROUND(CAP15.3!K205,0)*$D$186</f>
        <v>641280</v>
      </c>
      <c r="H186" s="172">
        <f>ROUND(CAP15.3!L205,0)*$D$186</f>
        <v>641439</v>
      </c>
      <c r="I186" s="172">
        <f>ROUND(CAP15.3!M205,0)*$D$186</f>
        <v>641577</v>
      </c>
      <c r="J186" s="172">
        <f>ROUND(CAP15.3!N205,0)*$D$186</f>
        <v>641199</v>
      </c>
      <c r="K186" s="172">
        <f>ROUND(CAP15.3!O205,0)*$D$186</f>
        <v>643444</v>
      </c>
      <c r="L186" s="172">
        <f>ROUND(CAP15.3!P205,0)*$D$186</f>
        <v>640980</v>
      </c>
      <c r="M186" s="172">
        <f>ROUND(CAP15.3!Q205,0)*$D$186</f>
        <v>641126</v>
      </c>
      <c r="N186" s="172">
        <f>ROUND(CAP15.3!R205,0)*$D$186</f>
        <v>641513</v>
      </c>
      <c r="O186" s="172">
        <f>ROUND(CAP15.3!S205,0)*$D$186</f>
        <v>641575</v>
      </c>
      <c r="P186" s="172">
        <f>ROUND(CAP15.3!T205,0)*$D$186</f>
        <v>640995</v>
      </c>
      <c r="Q186" s="172"/>
      <c r="R186" s="168">
        <f>SUM(E186:P186)/1000</f>
        <v>7700</v>
      </c>
      <c r="S186" s="168">
        <f>SUM(E191:P191)/12</f>
        <v>3851.0427499999992</v>
      </c>
    </row>
    <row r="187" spans="1:19">
      <c r="A187" s="169" t="s">
        <v>82</v>
      </c>
      <c r="B187" s="169"/>
      <c r="R187" s="168"/>
      <c r="S187" s="168"/>
    </row>
    <row r="188" spans="1:19">
      <c r="A188" s="119" t="s">
        <v>78</v>
      </c>
      <c r="E188" s="119">
        <v>0</v>
      </c>
      <c r="F188" s="170">
        <f t="shared" ref="F188:P188" si="157">E190</f>
        <v>643.40899999999999</v>
      </c>
      <c r="G188" s="170">
        <f t="shared" si="157"/>
        <v>1284.8719999999998</v>
      </c>
      <c r="H188" s="170">
        <f t="shared" si="157"/>
        <v>1926.1519999999998</v>
      </c>
      <c r="I188" s="170">
        <f t="shared" si="157"/>
        <v>2567.5909999999999</v>
      </c>
      <c r="J188" s="170">
        <f t="shared" si="157"/>
        <v>3209.1679999999997</v>
      </c>
      <c r="K188" s="170">
        <f t="shared" si="157"/>
        <v>3850.3669999999997</v>
      </c>
      <c r="L188" s="170">
        <f t="shared" si="157"/>
        <v>4493.8109999999997</v>
      </c>
      <c r="M188" s="170">
        <f t="shared" si="157"/>
        <v>5134.7909999999993</v>
      </c>
      <c r="N188" s="170">
        <f t="shared" si="157"/>
        <v>5775.9169999999995</v>
      </c>
      <c r="O188" s="170">
        <f t="shared" si="157"/>
        <v>6417.4299999999994</v>
      </c>
      <c r="P188" s="170">
        <f t="shared" si="157"/>
        <v>7059.0049999999992</v>
      </c>
      <c r="Q188" s="170"/>
      <c r="R188" s="168"/>
      <c r="S188" s="168"/>
    </row>
    <row r="189" spans="1:19">
      <c r="A189" s="119" t="s">
        <v>79</v>
      </c>
      <c r="E189" s="170">
        <f>E186/1000</f>
        <v>643.40899999999999</v>
      </c>
      <c r="F189" s="170">
        <f t="shared" ref="F189:P189" si="158">F186/1000</f>
        <v>641.46299999999997</v>
      </c>
      <c r="G189" s="170">
        <f t="shared" si="158"/>
        <v>641.28</v>
      </c>
      <c r="H189" s="170">
        <f t="shared" si="158"/>
        <v>641.43899999999996</v>
      </c>
      <c r="I189" s="170">
        <f t="shared" si="158"/>
        <v>641.577</v>
      </c>
      <c r="J189" s="170">
        <f t="shared" si="158"/>
        <v>641.19899999999996</v>
      </c>
      <c r="K189" s="170">
        <f t="shared" si="158"/>
        <v>643.44399999999996</v>
      </c>
      <c r="L189" s="170">
        <f t="shared" si="158"/>
        <v>640.98</v>
      </c>
      <c r="M189" s="170">
        <f t="shared" si="158"/>
        <v>641.12599999999998</v>
      </c>
      <c r="N189" s="170">
        <f t="shared" si="158"/>
        <v>641.51300000000003</v>
      </c>
      <c r="O189" s="170">
        <f t="shared" si="158"/>
        <v>641.57500000000005</v>
      </c>
      <c r="P189" s="170">
        <f t="shared" si="158"/>
        <v>640.995</v>
      </c>
      <c r="Q189" s="170"/>
      <c r="R189" s="168"/>
      <c r="S189" s="168"/>
    </row>
    <row r="190" spans="1:19">
      <c r="A190" s="119" t="s">
        <v>80</v>
      </c>
      <c r="E190" s="170">
        <f t="shared" ref="E190:P190" si="159">E188+E189</f>
        <v>643.40899999999999</v>
      </c>
      <c r="F190" s="170">
        <f t="shared" si="159"/>
        <v>1284.8719999999998</v>
      </c>
      <c r="G190" s="170">
        <f t="shared" si="159"/>
        <v>1926.1519999999998</v>
      </c>
      <c r="H190" s="170">
        <f t="shared" si="159"/>
        <v>2567.5909999999999</v>
      </c>
      <c r="I190" s="170">
        <f t="shared" si="159"/>
        <v>3209.1679999999997</v>
      </c>
      <c r="J190" s="170">
        <f t="shared" si="159"/>
        <v>3850.3669999999997</v>
      </c>
      <c r="K190" s="170">
        <f t="shared" si="159"/>
        <v>4493.8109999999997</v>
      </c>
      <c r="L190" s="170">
        <f t="shared" si="159"/>
        <v>5134.7909999999993</v>
      </c>
      <c r="M190" s="170">
        <f t="shared" si="159"/>
        <v>5775.9169999999995</v>
      </c>
      <c r="N190" s="170">
        <f t="shared" si="159"/>
        <v>6417.4299999999994</v>
      </c>
      <c r="O190" s="170">
        <f t="shared" si="159"/>
        <v>7059.0049999999992</v>
      </c>
      <c r="P190" s="170">
        <f t="shared" si="159"/>
        <v>7699.9999999999991</v>
      </c>
      <c r="Q190" s="170"/>
      <c r="R190" s="168"/>
      <c r="S190" s="168"/>
    </row>
    <row r="191" spans="1:19">
      <c r="A191" s="119" t="s">
        <v>81</v>
      </c>
      <c r="E191" s="170">
        <f t="shared" ref="E191:P191" si="160">(E188+E190)/2</f>
        <v>321.7045</v>
      </c>
      <c r="F191" s="170">
        <f t="shared" si="160"/>
        <v>964.14049999999997</v>
      </c>
      <c r="G191" s="170">
        <f t="shared" si="160"/>
        <v>1605.5119999999997</v>
      </c>
      <c r="H191" s="170">
        <f t="shared" si="160"/>
        <v>2246.8714999999997</v>
      </c>
      <c r="I191" s="170">
        <f t="shared" si="160"/>
        <v>2888.3795</v>
      </c>
      <c r="J191" s="170">
        <f t="shared" si="160"/>
        <v>3529.7674999999999</v>
      </c>
      <c r="K191" s="170">
        <f t="shared" si="160"/>
        <v>4172.0889999999999</v>
      </c>
      <c r="L191" s="170">
        <f t="shared" si="160"/>
        <v>4814.3009999999995</v>
      </c>
      <c r="M191" s="170">
        <f t="shared" si="160"/>
        <v>5455.3539999999994</v>
      </c>
      <c r="N191" s="170">
        <f t="shared" si="160"/>
        <v>6096.673499999999</v>
      </c>
      <c r="O191" s="170">
        <f t="shared" si="160"/>
        <v>6738.2174999999988</v>
      </c>
      <c r="P191" s="170">
        <f t="shared" si="160"/>
        <v>7379.5024999999987</v>
      </c>
      <c r="Q191" s="170"/>
      <c r="R191" s="168"/>
      <c r="S191" s="168"/>
    </row>
    <row r="192" spans="1:19">
      <c r="R192" s="168"/>
      <c r="S192" s="168"/>
    </row>
    <row r="193" spans="1:19">
      <c r="R193" s="168"/>
      <c r="S193" s="168"/>
    </row>
    <row r="194" spans="1:19" ht="30">
      <c r="A194" s="166" t="s">
        <v>273</v>
      </c>
      <c r="B194" s="166"/>
      <c r="D194" s="119">
        <f>$C$5</f>
        <v>1</v>
      </c>
      <c r="E194" s="172">
        <f>ROUND(CAP15.3!I193-E201,0)*$D$194</f>
        <v>17917</v>
      </c>
      <c r="F194" s="172">
        <f>ROUND(CAP15.3!J193-F201,0)*$D$194</f>
        <v>17917</v>
      </c>
      <c r="G194" s="172">
        <f>ROUND(CAP15.3!K193-G201,0)*$D$194</f>
        <v>6357648</v>
      </c>
      <c r="H194" s="172">
        <f>ROUND(CAP15.3!L193-H201,0)*$D$194</f>
        <v>17917</v>
      </c>
      <c r="I194" s="172">
        <f>ROUND(CAP15.3!M193-I201,0)*$D$194</f>
        <v>17917</v>
      </c>
      <c r="J194" s="172">
        <f>ROUND(CAP15.3!N193-J201,0)*$D$194</f>
        <v>6357648</v>
      </c>
      <c r="K194" s="172">
        <f>ROUND(CAP15.3!O193-K201,0)*$D$194</f>
        <v>17917</v>
      </c>
      <c r="L194" s="172">
        <f>ROUND(CAP15.3!P193-L201,0)*$D$194</f>
        <v>17917</v>
      </c>
      <c r="M194" s="172">
        <f>ROUND(CAP15.3!Q193-M201,0)*$D$194</f>
        <v>6357648</v>
      </c>
      <c r="N194" s="172">
        <f>ROUND(CAP15.3!R193-N201,0)*$D$194</f>
        <v>17917</v>
      </c>
      <c r="O194" s="172">
        <f>ROUND(CAP15.3!S193-O201,0)*$D$194</f>
        <v>4142916</v>
      </c>
      <c r="P194" s="172">
        <f>ROUND(CAP15.3!T193-P201,0)*$D$194</f>
        <v>6407648</v>
      </c>
      <c r="Q194" s="172"/>
      <c r="R194" s="168">
        <f>SUM(E194:P194)/1000</f>
        <v>29748.927</v>
      </c>
      <c r="S194" s="168">
        <f>SUM(E199:P199)/12</f>
        <v>11191.428541666668</v>
      </c>
    </row>
    <row r="195" spans="1:19">
      <c r="A195" s="169" t="s">
        <v>82</v>
      </c>
      <c r="B195" s="169"/>
      <c r="R195" s="168"/>
      <c r="S195" s="168"/>
    </row>
    <row r="196" spans="1:19">
      <c r="A196" s="119" t="s">
        <v>78</v>
      </c>
      <c r="E196" s="119">
        <v>0</v>
      </c>
      <c r="F196" s="170">
        <f t="shared" ref="F196:P196" si="161">E198</f>
        <v>17.917000000000002</v>
      </c>
      <c r="G196" s="170">
        <f t="shared" si="161"/>
        <v>35.834000000000003</v>
      </c>
      <c r="H196" s="170">
        <f t="shared" si="161"/>
        <v>6393.482</v>
      </c>
      <c r="I196" s="170">
        <f t="shared" si="161"/>
        <v>6411.3990000000003</v>
      </c>
      <c r="J196" s="170">
        <f t="shared" si="161"/>
        <v>6429.3160000000007</v>
      </c>
      <c r="K196" s="170">
        <f t="shared" si="161"/>
        <v>12786.964</v>
      </c>
      <c r="L196" s="170">
        <f t="shared" si="161"/>
        <v>12804.880999999999</v>
      </c>
      <c r="M196" s="170">
        <f t="shared" si="161"/>
        <v>12822.797999999999</v>
      </c>
      <c r="N196" s="170">
        <f t="shared" si="161"/>
        <v>19180.446</v>
      </c>
      <c r="O196" s="170">
        <f t="shared" si="161"/>
        <v>19198.363000000001</v>
      </c>
      <c r="P196" s="170">
        <f t="shared" si="161"/>
        <v>23341.279000000002</v>
      </c>
      <c r="Q196" s="170"/>
      <c r="R196" s="168"/>
      <c r="S196" s="168"/>
    </row>
    <row r="197" spans="1:19">
      <c r="A197" s="119" t="s">
        <v>79</v>
      </c>
      <c r="E197" s="170">
        <f>E194/1000</f>
        <v>17.917000000000002</v>
      </c>
      <c r="F197" s="170">
        <f t="shared" ref="F197:P197" si="162">F194/1000</f>
        <v>17.917000000000002</v>
      </c>
      <c r="G197" s="170">
        <f t="shared" si="162"/>
        <v>6357.6480000000001</v>
      </c>
      <c r="H197" s="170">
        <f t="shared" si="162"/>
        <v>17.917000000000002</v>
      </c>
      <c r="I197" s="170">
        <f t="shared" si="162"/>
        <v>17.917000000000002</v>
      </c>
      <c r="J197" s="170">
        <f t="shared" si="162"/>
        <v>6357.6480000000001</v>
      </c>
      <c r="K197" s="170">
        <f t="shared" si="162"/>
        <v>17.917000000000002</v>
      </c>
      <c r="L197" s="170">
        <f t="shared" si="162"/>
        <v>17.917000000000002</v>
      </c>
      <c r="M197" s="170">
        <f t="shared" si="162"/>
        <v>6357.6480000000001</v>
      </c>
      <c r="N197" s="170">
        <f t="shared" si="162"/>
        <v>17.917000000000002</v>
      </c>
      <c r="O197" s="170">
        <f t="shared" si="162"/>
        <v>4142.9160000000002</v>
      </c>
      <c r="P197" s="170">
        <f t="shared" si="162"/>
        <v>6407.6480000000001</v>
      </c>
      <c r="Q197" s="170"/>
      <c r="R197" s="168"/>
      <c r="S197" s="168"/>
    </row>
    <row r="198" spans="1:19">
      <c r="A198" s="119" t="s">
        <v>80</v>
      </c>
      <c r="E198" s="170">
        <f t="shared" ref="E198:P198" si="163">E196+E197</f>
        <v>17.917000000000002</v>
      </c>
      <c r="F198" s="170">
        <f t="shared" si="163"/>
        <v>35.834000000000003</v>
      </c>
      <c r="G198" s="170">
        <f t="shared" si="163"/>
        <v>6393.482</v>
      </c>
      <c r="H198" s="170">
        <f t="shared" si="163"/>
        <v>6411.3990000000003</v>
      </c>
      <c r="I198" s="170">
        <f t="shared" si="163"/>
        <v>6429.3160000000007</v>
      </c>
      <c r="J198" s="170">
        <f t="shared" si="163"/>
        <v>12786.964</v>
      </c>
      <c r="K198" s="170">
        <f t="shared" si="163"/>
        <v>12804.880999999999</v>
      </c>
      <c r="L198" s="170">
        <f t="shared" si="163"/>
        <v>12822.797999999999</v>
      </c>
      <c r="M198" s="170">
        <f t="shared" si="163"/>
        <v>19180.446</v>
      </c>
      <c r="N198" s="170">
        <f t="shared" si="163"/>
        <v>19198.363000000001</v>
      </c>
      <c r="O198" s="170">
        <f t="shared" si="163"/>
        <v>23341.279000000002</v>
      </c>
      <c r="P198" s="170">
        <f t="shared" si="163"/>
        <v>29748.927000000003</v>
      </c>
      <c r="Q198" s="170"/>
      <c r="R198" s="168"/>
      <c r="S198" s="168"/>
    </row>
    <row r="199" spans="1:19">
      <c r="A199" s="119" t="s">
        <v>81</v>
      </c>
      <c r="E199" s="170">
        <f t="shared" ref="E199:P199" si="164">(E196+E198)/2</f>
        <v>8.9585000000000008</v>
      </c>
      <c r="F199" s="170">
        <f t="shared" si="164"/>
        <v>26.875500000000002</v>
      </c>
      <c r="G199" s="170">
        <f t="shared" si="164"/>
        <v>3214.6579999999999</v>
      </c>
      <c r="H199" s="170">
        <f t="shared" si="164"/>
        <v>6402.4405000000006</v>
      </c>
      <c r="I199" s="170">
        <f t="shared" si="164"/>
        <v>6420.3575000000001</v>
      </c>
      <c r="J199" s="170">
        <f t="shared" si="164"/>
        <v>9608.14</v>
      </c>
      <c r="K199" s="170">
        <f t="shared" si="164"/>
        <v>12795.922500000001</v>
      </c>
      <c r="L199" s="170">
        <f t="shared" si="164"/>
        <v>12813.839499999998</v>
      </c>
      <c r="M199" s="170">
        <f t="shared" si="164"/>
        <v>16001.621999999999</v>
      </c>
      <c r="N199" s="170">
        <f t="shared" si="164"/>
        <v>19189.404500000001</v>
      </c>
      <c r="O199" s="170">
        <f t="shared" si="164"/>
        <v>21269.821000000004</v>
      </c>
      <c r="P199" s="170">
        <f t="shared" si="164"/>
        <v>26545.103000000003</v>
      </c>
      <c r="Q199" s="170"/>
      <c r="R199" s="168"/>
      <c r="S199" s="168"/>
    </row>
    <row r="200" spans="1:19"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68"/>
      <c r="S200" s="168"/>
    </row>
    <row r="201" spans="1:19" ht="45">
      <c r="A201" s="166" t="s">
        <v>274</v>
      </c>
      <c r="B201" s="166">
        <v>5138</v>
      </c>
      <c r="D201" s="119">
        <f>$C$5</f>
        <v>1</v>
      </c>
      <c r="E201" s="172">
        <f>ROUND(CAP15.3!I186,0)*$D$201</f>
        <v>0</v>
      </c>
      <c r="F201" s="172">
        <f>ROUND(CAP15.3!J186,0)*$D$201</f>
        <v>83819844</v>
      </c>
      <c r="G201" s="172">
        <f>ROUND(CAP15.3!K186,0)*$D$201</f>
        <v>4000000</v>
      </c>
      <c r="H201" s="172">
        <f>ROUND(CAP15.3!L186,0)*$D$201</f>
        <v>2600000</v>
      </c>
      <c r="I201" s="172">
        <f>ROUND(CAP15.3!M186,0)*$D$201</f>
        <v>4688477</v>
      </c>
      <c r="J201" s="172">
        <f>ROUND(CAP15.3!N186,0)*$D$201</f>
        <v>0</v>
      </c>
      <c r="K201" s="172">
        <f>ROUND(CAP15.3!O186,0)*$D$201</f>
        <v>0</v>
      </c>
      <c r="L201" s="172">
        <f>ROUND(CAP15.3!P186,0)*$D$201</f>
        <v>0</v>
      </c>
      <c r="M201" s="172">
        <f>ROUND(CAP15.3!Q186,0)*$D$201</f>
        <v>0</v>
      </c>
      <c r="N201" s="172">
        <f>ROUND(CAP15.3!R186,0)*$D$201</f>
        <v>0</v>
      </c>
      <c r="O201" s="172">
        <f>ROUND(CAP15.3!S186,0)*$D$201</f>
        <v>0</v>
      </c>
      <c r="P201" s="172">
        <f>ROUND(CAP15.3!T186,0)*$D$201</f>
        <v>0</v>
      </c>
      <c r="Q201" s="172"/>
      <c r="R201" s="168">
        <f>SUM(E201:P201)/1000</f>
        <v>95108.320999999996</v>
      </c>
      <c r="S201" s="168">
        <f>SUM(E206:P206)/12</f>
        <v>81280.994958333336</v>
      </c>
    </row>
    <row r="202" spans="1:19">
      <c r="A202" s="169" t="s">
        <v>82</v>
      </c>
      <c r="B202" s="169"/>
      <c r="R202" s="168"/>
      <c r="S202" s="168"/>
    </row>
    <row r="203" spans="1:19">
      <c r="A203" s="119" t="s">
        <v>78</v>
      </c>
      <c r="E203" s="119">
        <v>0</v>
      </c>
      <c r="F203" s="170">
        <f t="shared" ref="F203" si="165">E205</f>
        <v>0</v>
      </c>
      <c r="G203" s="170">
        <f t="shared" ref="G203" si="166">F205</f>
        <v>83819.843999999997</v>
      </c>
      <c r="H203" s="170">
        <f t="shared" ref="H203" si="167">G205</f>
        <v>87819.843999999997</v>
      </c>
      <c r="I203" s="170">
        <f t="shared" ref="I203" si="168">H205</f>
        <v>90419.843999999997</v>
      </c>
      <c r="J203" s="170">
        <f t="shared" ref="J203:K203" si="169">I205</f>
        <v>95108.320999999996</v>
      </c>
      <c r="K203" s="170">
        <f t="shared" si="169"/>
        <v>95108.320999999996</v>
      </c>
      <c r="L203" s="170">
        <f t="shared" ref="L203" si="170">K205</f>
        <v>95108.320999999996</v>
      </c>
      <c r="M203" s="170">
        <f t="shared" ref="M203" si="171">L205</f>
        <v>95108.320999999996</v>
      </c>
      <c r="N203" s="170">
        <f t="shared" ref="N203" si="172">M205</f>
        <v>95108.320999999996</v>
      </c>
      <c r="O203" s="170">
        <f t="shared" ref="O203" si="173">N205</f>
        <v>95108.320999999996</v>
      </c>
      <c r="P203" s="170">
        <f t="shared" ref="P203" si="174">O205</f>
        <v>95108.320999999996</v>
      </c>
      <c r="Q203" s="170"/>
      <c r="R203" s="168"/>
      <c r="S203" s="168"/>
    </row>
    <row r="204" spans="1:19">
      <c r="A204" s="119" t="s">
        <v>79</v>
      </c>
      <c r="E204" s="170">
        <f>E201/1000</f>
        <v>0</v>
      </c>
      <c r="F204" s="170">
        <f t="shared" ref="F204:P204" si="175">F201/1000</f>
        <v>83819.843999999997</v>
      </c>
      <c r="G204" s="170">
        <f t="shared" si="175"/>
        <v>4000</v>
      </c>
      <c r="H204" s="170">
        <f t="shared" si="175"/>
        <v>2600</v>
      </c>
      <c r="I204" s="170">
        <f t="shared" si="175"/>
        <v>4688.4769999999999</v>
      </c>
      <c r="J204" s="170">
        <f t="shared" si="175"/>
        <v>0</v>
      </c>
      <c r="K204" s="170">
        <f t="shared" si="175"/>
        <v>0</v>
      </c>
      <c r="L204" s="170">
        <f t="shared" si="175"/>
        <v>0</v>
      </c>
      <c r="M204" s="170">
        <f t="shared" si="175"/>
        <v>0</v>
      </c>
      <c r="N204" s="170">
        <f t="shared" si="175"/>
        <v>0</v>
      </c>
      <c r="O204" s="170">
        <f t="shared" si="175"/>
        <v>0</v>
      </c>
      <c r="P204" s="170">
        <f t="shared" si="175"/>
        <v>0</v>
      </c>
      <c r="Q204" s="170"/>
      <c r="R204" s="168"/>
      <c r="S204" s="168"/>
    </row>
    <row r="205" spans="1:19">
      <c r="A205" s="119" t="s">
        <v>80</v>
      </c>
      <c r="E205" s="170">
        <f t="shared" ref="E205:P205" si="176">E203+E204</f>
        <v>0</v>
      </c>
      <c r="F205" s="170">
        <f t="shared" si="176"/>
        <v>83819.843999999997</v>
      </c>
      <c r="G205" s="170">
        <f t="shared" si="176"/>
        <v>87819.843999999997</v>
      </c>
      <c r="H205" s="170">
        <f t="shared" si="176"/>
        <v>90419.843999999997</v>
      </c>
      <c r="I205" s="170">
        <f t="shared" si="176"/>
        <v>95108.320999999996</v>
      </c>
      <c r="J205" s="170">
        <f t="shared" si="176"/>
        <v>95108.320999999996</v>
      </c>
      <c r="K205" s="170">
        <f t="shared" si="176"/>
        <v>95108.320999999996</v>
      </c>
      <c r="L205" s="170">
        <f t="shared" si="176"/>
        <v>95108.320999999996</v>
      </c>
      <c r="M205" s="170">
        <f t="shared" si="176"/>
        <v>95108.320999999996</v>
      </c>
      <c r="N205" s="170">
        <f t="shared" si="176"/>
        <v>95108.320999999996</v>
      </c>
      <c r="O205" s="170">
        <f t="shared" si="176"/>
        <v>95108.320999999996</v>
      </c>
      <c r="P205" s="170">
        <f t="shared" si="176"/>
        <v>95108.320999999996</v>
      </c>
      <c r="Q205" s="170"/>
      <c r="R205" s="168"/>
      <c r="S205" s="168"/>
    </row>
    <row r="206" spans="1:19">
      <c r="A206" s="119" t="s">
        <v>81</v>
      </c>
      <c r="E206" s="170">
        <f t="shared" ref="E206:P206" si="177">(E203+E205)/2</f>
        <v>0</v>
      </c>
      <c r="F206" s="170">
        <f t="shared" si="177"/>
        <v>41909.921999999999</v>
      </c>
      <c r="G206" s="170">
        <f t="shared" si="177"/>
        <v>85819.843999999997</v>
      </c>
      <c r="H206" s="170">
        <f t="shared" si="177"/>
        <v>89119.843999999997</v>
      </c>
      <c r="I206" s="170">
        <f t="shared" si="177"/>
        <v>92764.08249999999</v>
      </c>
      <c r="J206" s="170">
        <f t="shared" si="177"/>
        <v>95108.320999999996</v>
      </c>
      <c r="K206" s="170">
        <f t="shared" si="177"/>
        <v>95108.320999999996</v>
      </c>
      <c r="L206" s="170">
        <f t="shared" si="177"/>
        <v>95108.320999999996</v>
      </c>
      <c r="M206" s="170">
        <f t="shared" si="177"/>
        <v>95108.320999999996</v>
      </c>
      <c r="N206" s="170">
        <f t="shared" si="177"/>
        <v>95108.320999999996</v>
      </c>
      <c r="O206" s="170">
        <f t="shared" si="177"/>
        <v>95108.320999999996</v>
      </c>
      <c r="P206" s="170">
        <f t="shared" si="177"/>
        <v>95108.320999999996</v>
      </c>
      <c r="Q206" s="170"/>
      <c r="R206" s="168"/>
      <c r="S206" s="168"/>
    </row>
    <row r="207" spans="1:19"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68"/>
      <c r="S207" s="168"/>
    </row>
    <row r="208" spans="1:19"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68"/>
      <c r="S208" s="168"/>
    </row>
    <row r="209" spans="1:19">
      <c r="A209" s="166" t="s">
        <v>380</v>
      </c>
      <c r="B209" s="166"/>
      <c r="D209" s="119">
        <f>$C$5</f>
        <v>1</v>
      </c>
      <c r="E209" s="172">
        <f>ROUND(CAP15.3!I194,0)*$D$194</f>
        <v>0</v>
      </c>
      <c r="F209" s="172">
        <f>ROUND(CAP15.3!J194,0)*$D$194</f>
        <v>0</v>
      </c>
      <c r="G209" s="172">
        <f>ROUND(CAP15.3!K194,0)*$D$194</f>
        <v>0</v>
      </c>
      <c r="H209" s="172">
        <f>ROUND(CAP15.3!L194,0)*$D$194</f>
        <v>0</v>
      </c>
      <c r="I209" s="172">
        <f>ROUND(CAP15.3!M194,0)*$D$194</f>
        <v>0</v>
      </c>
      <c r="J209" s="172">
        <f>ROUND(CAP15.3!N194,0)*$D$194</f>
        <v>0</v>
      </c>
      <c r="K209" s="172">
        <f>ROUND(CAP15.3!O194,0)*$D$194</f>
        <v>0</v>
      </c>
      <c r="L209" s="172">
        <f>ROUND(CAP15.3!P194,0)*$D$194</f>
        <v>0</v>
      </c>
      <c r="M209" s="172">
        <f>ROUND(CAP15.3!Q194,0)*$D$194</f>
        <v>0</v>
      </c>
      <c r="N209" s="172">
        <f>ROUND(CAP15.3!R194,0)*$D$194</f>
        <v>0</v>
      </c>
      <c r="O209" s="172">
        <f>ROUND(CAP15.3!S194,0)*$D$194</f>
        <v>0</v>
      </c>
      <c r="P209" s="172">
        <f>ROUND(CAP15.3!T194,0)*$D$194</f>
        <v>0</v>
      </c>
      <c r="Q209" s="172"/>
      <c r="R209" s="168">
        <f>SUM(E209:P209)/1000</f>
        <v>0</v>
      </c>
      <c r="S209" s="168">
        <f>SUM(E214:P214)/12</f>
        <v>0</v>
      </c>
    </row>
    <row r="210" spans="1:19">
      <c r="A210" s="169" t="s">
        <v>82</v>
      </c>
      <c r="B210" s="169"/>
      <c r="R210" s="168"/>
      <c r="S210" s="168"/>
    </row>
    <row r="211" spans="1:19">
      <c r="A211" s="119" t="s">
        <v>78</v>
      </c>
      <c r="E211" s="119">
        <v>0</v>
      </c>
      <c r="F211" s="170">
        <f t="shared" ref="F211" si="178">E213</f>
        <v>0</v>
      </c>
      <c r="G211" s="170">
        <f t="shared" ref="G211" si="179">F213</f>
        <v>0</v>
      </c>
      <c r="H211" s="170">
        <f t="shared" ref="H211" si="180">G213</f>
        <v>0</v>
      </c>
      <c r="I211" s="170">
        <f t="shared" ref="I211" si="181">H213</f>
        <v>0</v>
      </c>
      <c r="J211" s="170">
        <f t="shared" ref="J211:K211" si="182">I213</f>
        <v>0</v>
      </c>
      <c r="K211" s="170">
        <f t="shared" si="182"/>
        <v>0</v>
      </c>
      <c r="L211" s="170">
        <f t="shared" ref="L211" si="183">K213</f>
        <v>0</v>
      </c>
      <c r="M211" s="170">
        <f t="shared" ref="M211" si="184">L213</f>
        <v>0</v>
      </c>
      <c r="N211" s="170">
        <f t="shared" ref="N211" si="185">M213</f>
        <v>0</v>
      </c>
      <c r="O211" s="170">
        <f t="shared" ref="O211" si="186">N213</f>
        <v>0</v>
      </c>
      <c r="P211" s="170">
        <f t="shared" ref="P211" si="187">O213</f>
        <v>0</v>
      </c>
      <c r="Q211" s="170"/>
      <c r="R211" s="168"/>
      <c r="S211" s="168"/>
    </row>
    <row r="212" spans="1:19">
      <c r="A212" s="119" t="s">
        <v>79</v>
      </c>
      <c r="E212" s="170">
        <f>E209/1000</f>
        <v>0</v>
      </c>
      <c r="F212" s="170">
        <f t="shared" ref="F212:P212" si="188">F209/1000</f>
        <v>0</v>
      </c>
      <c r="G212" s="170">
        <f t="shared" si="188"/>
        <v>0</v>
      </c>
      <c r="H212" s="170">
        <f t="shared" si="188"/>
        <v>0</v>
      </c>
      <c r="I212" s="170">
        <f t="shared" si="188"/>
        <v>0</v>
      </c>
      <c r="J212" s="170">
        <f t="shared" si="188"/>
        <v>0</v>
      </c>
      <c r="K212" s="170">
        <f t="shared" si="188"/>
        <v>0</v>
      </c>
      <c r="L212" s="170">
        <f t="shared" si="188"/>
        <v>0</v>
      </c>
      <c r="M212" s="170">
        <f t="shared" si="188"/>
        <v>0</v>
      </c>
      <c r="N212" s="170">
        <f t="shared" si="188"/>
        <v>0</v>
      </c>
      <c r="O212" s="170">
        <f t="shared" si="188"/>
        <v>0</v>
      </c>
      <c r="P212" s="170">
        <f t="shared" si="188"/>
        <v>0</v>
      </c>
      <c r="Q212" s="170"/>
      <c r="R212" s="168"/>
      <c r="S212" s="168"/>
    </row>
    <row r="213" spans="1:19">
      <c r="A213" s="119" t="s">
        <v>80</v>
      </c>
      <c r="E213" s="170">
        <f t="shared" ref="E213:P213" si="189">E211+E212</f>
        <v>0</v>
      </c>
      <c r="F213" s="170">
        <f t="shared" si="189"/>
        <v>0</v>
      </c>
      <c r="G213" s="170">
        <f t="shared" si="189"/>
        <v>0</v>
      </c>
      <c r="H213" s="170">
        <f t="shared" si="189"/>
        <v>0</v>
      </c>
      <c r="I213" s="170">
        <f t="shared" si="189"/>
        <v>0</v>
      </c>
      <c r="J213" s="170">
        <f t="shared" si="189"/>
        <v>0</v>
      </c>
      <c r="K213" s="170">
        <f t="shared" si="189"/>
        <v>0</v>
      </c>
      <c r="L213" s="170">
        <f t="shared" si="189"/>
        <v>0</v>
      </c>
      <c r="M213" s="170">
        <f t="shared" si="189"/>
        <v>0</v>
      </c>
      <c r="N213" s="170">
        <f t="shared" si="189"/>
        <v>0</v>
      </c>
      <c r="O213" s="170">
        <f t="shared" si="189"/>
        <v>0</v>
      </c>
      <c r="P213" s="170">
        <f t="shared" si="189"/>
        <v>0</v>
      </c>
      <c r="Q213" s="170"/>
      <c r="R213" s="168"/>
      <c r="S213" s="168"/>
    </row>
    <row r="214" spans="1:19">
      <c r="A214" s="119" t="s">
        <v>81</v>
      </c>
      <c r="E214" s="170">
        <f t="shared" ref="E214:P214" si="190">(E211+E213)/2</f>
        <v>0</v>
      </c>
      <c r="F214" s="170">
        <f t="shared" si="190"/>
        <v>0</v>
      </c>
      <c r="G214" s="170">
        <f t="shared" si="190"/>
        <v>0</v>
      </c>
      <c r="H214" s="170">
        <f t="shared" si="190"/>
        <v>0</v>
      </c>
      <c r="I214" s="170">
        <f t="shared" si="190"/>
        <v>0</v>
      </c>
      <c r="J214" s="170">
        <f t="shared" si="190"/>
        <v>0</v>
      </c>
      <c r="K214" s="170">
        <f t="shared" si="190"/>
        <v>0</v>
      </c>
      <c r="L214" s="170">
        <f t="shared" si="190"/>
        <v>0</v>
      </c>
      <c r="M214" s="170">
        <f t="shared" si="190"/>
        <v>0</v>
      </c>
      <c r="N214" s="170">
        <f t="shared" si="190"/>
        <v>0</v>
      </c>
      <c r="O214" s="170">
        <f t="shared" si="190"/>
        <v>0</v>
      </c>
      <c r="P214" s="170">
        <f t="shared" si="190"/>
        <v>0</v>
      </c>
      <c r="Q214" s="170"/>
      <c r="R214" s="168"/>
      <c r="S214" s="168"/>
    </row>
    <row r="215" spans="1:19">
      <c r="R215" s="168"/>
      <c r="S215" s="168"/>
    </row>
    <row r="216" spans="1:19" ht="15.75">
      <c r="M216" s="228" t="s">
        <v>86</v>
      </c>
      <c r="N216" s="228"/>
      <c r="O216" s="228"/>
      <c r="P216" s="228"/>
      <c r="Q216" s="175"/>
      <c r="R216" s="176">
        <f>SUM(R14:R215)</f>
        <v>398279.02399999998</v>
      </c>
      <c r="S216" s="176">
        <f>SUM(S14:S215)</f>
        <v>181301.55575</v>
      </c>
    </row>
    <row r="217" spans="1:19">
      <c r="R217" s="168"/>
      <c r="S217" s="168"/>
    </row>
    <row r="218" spans="1:19">
      <c r="R218" s="168"/>
      <c r="S218" s="168"/>
    </row>
    <row r="219" spans="1:19" ht="13.5" customHeight="1">
      <c r="R219" s="168"/>
      <c r="S219" s="168"/>
    </row>
    <row r="220" spans="1:19" ht="12" customHeight="1">
      <c r="A220" s="166" t="s">
        <v>85</v>
      </c>
      <c r="B220" s="166"/>
      <c r="D220" s="119">
        <f>$C$5</f>
        <v>1</v>
      </c>
      <c r="E220" s="172">
        <f>ROUND(CAP15.3!I129,0)*$D$220</f>
        <v>53333</v>
      </c>
      <c r="F220" s="172">
        <f>ROUND(CAP15.3!J129,0)*$D$220</f>
        <v>26666</v>
      </c>
      <c r="G220" s="172">
        <f>ROUND(CAP15.3!K129,0)*$D$220</f>
        <v>115000</v>
      </c>
      <c r="H220" s="172">
        <f>ROUND(CAP15.3!L129,0)*$D$220</f>
        <v>36667</v>
      </c>
      <c r="I220" s="172">
        <f>ROUND(CAP15.3!M129,0)*$D$220</f>
        <v>111667</v>
      </c>
      <c r="J220" s="172">
        <f>ROUND(CAP15.3!N129,0)*$D$220</f>
        <v>377766</v>
      </c>
      <c r="K220" s="172">
        <f>ROUND(CAP15.3!O129,0)*$D$220</f>
        <v>324100</v>
      </c>
      <c r="L220" s="172">
        <f>ROUND(CAP15.3!P129,0)*$D$220</f>
        <v>231100</v>
      </c>
      <c r="M220" s="172">
        <f>ROUND(CAP15.3!Q129,0)*$D$220</f>
        <v>3334</v>
      </c>
      <c r="N220" s="172">
        <f>ROUND(CAP15.3!R129,0)*$D$220</f>
        <v>36667</v>
      </c>
      <c r="O220" s="172">
        <f>ROUND(CAP15.3!S129,0)*$D$220</f>
        <v>36667</v>
      </c>
      <c r="P220" s="172">
        <f>ROUND(CAP15.3!T129,0)*$D$220</f>
        <v>3333</v>
      </c>
      <c r="Q220" s="172"/>
      <c r="R220" s="168">
        <f>SUM(E220:P220)/1000</f>
        <v>1356.3</v>
      </c>
      <c r="S220" s="168">
        <f>SUM(E225:P225)/12</f>
        <v>714.41475000000003</v>
      </c>
    </row>
    <row r="221" spans="1:19">
      <c r="A221" s="169" t="s">
        <v>82</v>
      </c>
      <c r="B221" s="169"/>
      <c r="R221" s="168"/>
      <c r="S221" s="168"/>
    </row>
    <row r="222" spans="1:19">
      <c r="A222" s="119" t="s">
        <v>78</v>
      </c>
      <c r="E222" s="119">
        <v>0</v>
      </c>
      <c r="F222" s="170">
        <f t="shared" ref="F222:P222" si="191">E224</f>
        <v>53.332999999999998</v>
      </c>
      <c r="G222" s="170">
        <f t="shared" si="191"/>
        <v>79.998999999999995</v>
      </c>
      <c r="H222" s="170">
        <f t="shared" si="191"/>
        <v>194.999</v>
      </c>
      <c r="I222" s="170">
        <f t="shared" si="191"/>
        <v>231.666</v>
      </c>
      <c r="J222" s="170">
        <f t="shared" si="191"/>
        <v>343.33299999999997</v>
      </c>
      <c r="K222" s="170">
        <f t="shared" si="191"/>
        <v>721.09899999999993</v>
      </c>
      <c r="L222" s="170">
        <f t="shared" si="191"/>
        <v>1045.1990000000001</v>
      </c>
      <c r="M222" s="170">
        <f t="shared" si="191"/>
        <v>1276.299</v>
      </c>
      <c r="N222" s="170">
        <f t="shared" si="191"/>
        <v>1279.633</v>
      </c>
      <c r="O222" s="170">
        <f t="shared" si="191"/>
        <v>1316.3</v>
      </c>
      <c r="P222" s="170">
        <f t="shared" si="191"/>
        <v>1352.9669999999999</v>
      </c>
      <c r="Q222" s="170"/>
      <c r="R222" s="168"/>
      <c r="S222" s="168"/>
    </row>
    <row r="223" spans="1:19">
      <c r="A223" s="119" t="s">
        <v>79</v>
      </c>
      <c r="E223" s="170">
        <f>E220/1000</f>
        <v>53.332999999999998</v>
      </c>
      <c r="F223" s="170">
        <f t="shared" ref="F223:P223" si="192">F220/1000</f>
        <v>26.666</v>
      </c>
      <c r="G223" s="170">
        <f t="shared" si="192"/>
        <v>115</v>
      </c>
      <c r="H223" s="170">
        <f t="shared" si="192"/>
        <v>36.667000000000002</v>
      </c>
      <c r="I223" s="170">
        <f t="shared" si="192"/>
        <v>111.667</v>
      </c>
      <c r="J223" s="170">
        <f t="shared" si="192"/>
        <v>377.76600000000002</v>
      </c>
      <c r="K223" s="170">
        <f t="shared" si="192"/>
        <v>324.10000000000002</v>
      </c>
      <c r="L223" s="170">
        <f t="shared" si="192"/>
        <v>231.1</v>
      </c>
      <c r="M223" s="170">
        <f t="shared" si="192"/>
        <v>3.3340000000000001</v>
      </c>
      <c r="N223" s="170">
        <f t="shared" si="192"/>
        <v>36.667000000000002</v>
      </c>
      <c r="O223" s="170">
        <f t="shared" si="192"/>
        <v>36.667000000000002</v>
      </c>
      <c r="P223" s="170">
        <f t="shared" si="192"/>
        <v>3.3330000000000002</v>
      </c>
      <c r="Q223" s="170"/>
      <c r="R223" s="168"/>
      <c r="S223" s="168"/>
    </row>
    <row r="224" spans="1:19">
      <c r="A224" s="119" t="s">
        <v>80</v>
      </c>
      <c r="E224" s="170">
        <f t="shared" ref="E224:P224" si="193">E222+E223</f>
        <v>53.332999999999998</v>
      </c>
      <c r="F224" s="170">
        <f t="shared" si="193"/>
        <v>79.998999999999995</v>
      </c>
      <c r="G224" s="170">
        <f t="shared" si="193"/>
        <v>194.999</v>
      </c>
      <c r="H224" s="170">
        <f t="shared" si="193"/>
        <v>231.666</v>
      </c>
      <c r="I224" s="170">
        <f t="shared" si="193"/>
        <v>343.33299999999997</v>
      </c>
      <c r="J224" s="170">
        <f t="shared" si="193"/>
        <v>721.09899999999993</v>
      </c>
      <c r="K224" s="170">
        <f t="shared" si="193"/>
        <v>1045.1990000000001</v>
      </c>
      <c r="L224" s="170">
        <f t="shared" si="193"/>
        <v>1276.299</v>
      </c>
      <c r="M224" s="170">
        <f t="shared" si="193"/>
        <v>1279.633</v>
      </c>
      <c r="N224" s="170">
        <f t="shared" si="193"/>
        <v>1316.3</v>
      </c>
      <c r="O224" s="170">
        <f t="shared" si="193"/>
        <v>1352.9669999999999</v>
      </c>
      <c r="P224" s="170">
        <f t="shared" si="193"/>
        <v>1356.3</v>
      </c>
      <c r="Q224" s="170"/>
      <c r="R224" s="168"/>
      <c r="S224" s="168"/>
    </row>
    <row r="225" spans="1:19">
      <c r="A225" s="119" t="s">
        <v>81</v>
      </c>
      <c r="E225" s="170">
        <f t="shared" ref="E225:P225" si="194">(E222+E224)/2</f>
        <v>26.666499999999999</v>
      </c>
      <c r="F225" s="170">
        <f t="shared" si="194"/>
        <v>66.665999999999997</v>
      </c>
      <c r="G225" s="170">
        <f t="shared" si="194"/>
        <v>137.499</v>
      </c>
      <c r="H225" s="170">
        <f t="shared" si="194"/>
        <v>213.33249999999998</v>
      </c>
      <c r="I225" s="170">
        <f t="shared" si="194"/>
        <v>287.49950000000001</v>
      </c>
      <c r="J225" s="170">
        <f t="shared" si="194"/>
        <v>532.21599999999989</v>
      </c>
      <c r="K225" s="170">
        <f t="shared" si="194"/>
        <v>883.149</v>
      </c>
      <c r="L225" s="170">
        <f t="shared" si="194"/>
        <v>1160.749</v>
      </c>
      <c r="M225" s="170">
        <f t="shared" si="194"/>
        <v>1277.9659999999999</v>
      </c>
      <c r="N225" s="170">
        <f t="shared" si="194"/>
        <v>1297.9665</v>
      </c>
      <c r="O225" s="170">
        <f t="shared" si="194"/>
        <v>1334.6334999999999</v>
      </c>
      <c r="P225" s="170">
        <f t="shared" si="194"/>
        <v>1354.6334999999999</v>
      </c>
      <c r="Q225" s="170"/>
      <c r="R225" s="168"/>
      <c r="S225" s="168"/>
    </row>
    <row r="226" spans="1:19">
      <c r="R226" s="168"/>
      <c r="S226" s="168"/>
    </row>
    <row r="227" spans="1:19">
      <c r="A227" s="166" t="s">
        <v>300</v>
      </c>
      <c r="B227" s="166"/>
      <c r="D227" s="119">
        <f>$C$5</f>
        <v>1</v>
      </c>
      <c r="E227" s="167">
        <f>ROUND(CAP15.3!I99+CAP15.3!I100+CAP15.3!I101+CAP15.3!I113+CAP15.3!I111,0)*$D$227</f>
        <v>240621</v>
      </c>
      <c r="F227" s="167">
        <f>ROUND(CAP15.3!J99+CAP15.3!J100+CAP15.3!J101+CAP15.3!J113+CAP15.3!J111,0)*$D$227</f>
        <v>128015</v>
      </c>
      <c r="G227" s="167">
        <f>ROUND(CAP15.3!K99+CAP15.3!K100+CAP15.3!K101+CAP15.3!K113+CAP15.3!K111,0)*$D$227</f>
        <v>130300</v>
      </c>
      <c r="H227" s="167">
        <f>ROUND(CAP15.3!L99+CAP15.3!L100+CAP15.3!L101+CAP15.3!L113+CAP15.3!L111,0)*$D$227</f>
        <v>239901</v>
      </c>
      <c r="I227" s="167">
        <f>ROUND(CAP15.3!M99+CAP15.3!M100+CAP15.3!M101+CAP15.3!M113+CAP15.3!M111,0)*$D$227</f>
        <v>136486</v>
      </c>
      <c r="J227" s="167">
        <f>ROUND(CAP15.3!N99+CAP15.3!N100+CAP15.3!N101+CAP15.3!N113+CAP15.3!N111,0)*$D$227</f>
        <v>139941</v>
      </c>
      <c r="K227" s="167">
        <f>ROUND(CAP15.3!O99+CAP15.3!O100+CAP15.3!O101+CAP15.3!O113+CAP15.3!O111,0)*$D$227</f>
        <v>252554</v>
      </c>
      <c r="L227" s="167">
        <f>ROUND(CAP15.3!P99+CAP15.3!P100+CAP15.3!P101+CAP15.3!P113+CAP15.3!P111,0)*$D$227</f>
        <v>139063</v>
      </c>
      <c r="M227" s="167">
        <f>ROUND(CAP15.3!Q99+CAP15.3!Q100+CAP15.3!Q101+CAP15.3!Q113+CAP15.3!Q111,0)*$D$227</f>
        <v>139470</v>
      </c>
      <c r="N227" s="167">
        <f>ROUND(CAP15.3!R99+CAP15.3!R100+CAP15.3!R101+CAP15.3!R113+CAP15.3!R111,0)*$D$227</f>
        <v>245240</v>
      </c>
      <c r="O227" s="167">
        <f>ROUND(CAP15.3!S99+CAP15.3!S100+CAP15.3!S101+CAP15.3!S113+CAP15.3!S111,0)*$D$227</f>
        <v>134703</v>
      </c>
      <c r="P227" s="167">
        <f>ROUND(CAP15.3!T99+CAP15.3!T100+CAP15.3!T101+CAP15.3!T113+CAP15.3!T111,0)*$D$227</f>
        <v>139209</v>
      </c>
      <c r="Q227" s="172"/>
      <c r="R227" s="168">
        <f>SUM(E227:P227)/1000</f>
        <v>2065.5030000000002</v>
      </c>
      <c r="S227" s="168">
        <f>SUM(E232:P232)/12</f>
        <v>1059.1086249999998</v>
      </c>
    </row>
    <row r="228" spans="1:19">
      <c r="A228" s="169" t="s">
        <v>82</v>
      </c>
      <c r="B228" s="169"/>
      <c r="R228" s="168"/>
      <c r="S228" s="168"/>
    </row>
    <row r="229" spans="1:19">
      <c r="A229" s="119" t="s">
        <v>78</v>
      </c>
      <c r="E229" s="119">
        <v>0</v>
      </c>
      <c r="F229" s="170">
        <f t="shared" ref="F229" si="195">E231</f>
        <v>240.62100000000001</v>
      </c>
      <c r="G229" s="170">
        <f t="shared" ref="G229" si="196">F231</f>
        <v>368.63599999999997</v>
      </c>
      <c r="H229" s="170">
        <f t="shared" ref="H229" si="197">G231</f>
        <v>498.93599999999998</v>
      </c>
      <c r="I229" s="170">
        <f t="shared" ref="I229" si="198">H231</f>
        <v>738.83699999999999</v>
      </c>
      <c r="J229" s="170">
        <f t="shared" ref="J229" si="199">I231</f>
        <v>875.32299999999998</v>
      </c>
      <c r="K229" s="170">
        <f t="shared" ref="K229" si="200">J231</f>
        <v>1015.264</v>
      </c>
      <c r="L229" s="170">
        <f t="shared" ref="L229" si="201">K231</f>
        <v>1267.818</v>
      </c>
      <c r="M229" s="170">
        <f t="shared" ref="M229" si="202">L231</f>
        <v>1406.8809999999999</v>
      </c>
      <c r="N229" s="170">
        <f t="shared" ref="N229" si="203">M231</f>
        <v>1546.3509999999999</v>
      </c>
      <c r="O229" s="170">
        <f t="shared" ref="O229" si="204">N231</f>
        <v>1791.5909999999999</v>
      </c>
      <c r="P229" s="170">
        <f t="shared" ref="P229" si="205">O231</f>
        <v>1926.2939999999999</v>
      </c>
      <c r="Q229" s="170"/>
      <c r="R229" s="168"/>
      <c r="S229" s="168"/>
    </row>
    <row r="230" spans="1:19">
      <c r="A230" s="119" t="s">
        <v>79</v>
      </c>
      <c r="E230" s="170">
        <f>E227/1000</f>
        <v>240.62100000000001</v>
      </c>
      <c r="F230" s="170">
        <f t="shared" ref="F230:P230" si="206">F227/1000</f>
        <v>128.01499999999999</v>
      </c>
      <c r="G230" s="170">
        <f t="shared" si="206"/>
        <v>130.30000000000001</v>
      </c>
      <c r="H230" s="170">
        <f t="shared" si="206"/>
        <v>239.90100000000001</v>
      </c>
      <c r="I230" s="170">
        <f t="shared" si="206"/>
        <v>136.48599999999999</v>
      </c>
      <c r="J230" s="170">
        <f t="shared" si="206"/>
        <v>139.941</v>
      </c>
      <c r="K230" s="170">
        <f t="shared" si="206"/>
        <v>252.554</v>
      </c>
      <c r="L230" s="170">
        <f t="shared" si="206"/>
        <v>139.06299999999999</v>
      </c>
      <c r="M230" s="170">
        <f t="shared" si="206"/>
        <v>139.47</v>
      </c>
      <c r="N230" s="170">
        <f t="shared" si="206"/>
        <v>245.24</v>
      </c>
      <c r="O230" s="170">
        <f t="shared" si="206"/>
        <v>134.703</v>
      </c>
      <c r="P230" s="170">
        <f t="shared" si="206"/>
        <v>139.209</v>
      </c>
      <c r="Q230" s="170"/>
      <c r="R230" s="168"/>
      <c r="S230" s="168"/>
    </row>
    <row r="231" spans="1:19">
      <c r="A231" s="119" t="s">
        <v>80</v>
      </c>
      <c r="E231" s="170">
        <f t="shared" ref="E231:P231" si="207">E229+E230</f>
        <v>240.62100000000001</v>
      </c>
      <c r="F231" s="170">
        <f t="shared" si="207"/>
        <v>368.63599999999997</v>
      </c>
      <c r="G231" s="170">
        <f t="shared" si="207"/>
        <v>498.93599999999998</v>
      </c>
      <c r="H231" s="170">
        <f t="shared" si="207"/>
        <v>738.83699999999999</v>
      </c>
      <c r="I231" s="170">
        <f t="shared" si="207"/>
        <v>875.32299999999998</v>
      </c>
      <c r="J231" s="170">
        <f t="shared" si="207"/>
        <v>1015.264</v>
      </c>
      <c r="K231" s="170">
        <f t="shared" si="207"/>
        <v>1267.818</v>
      </c>
      <c r="L231" s="170">
        <f t="shared" si="207"/>
        <v>1406.8809999999999</v>
      </c>
      <c r="M231" s="170">
        <f t="shared" si="207"/>
        <v>1546.3509999999999</v>
      </c>
      <c r="N231" s="170">
        <f t="shared" si="207"/>
        <v>1791.5909999999999</v>
      </c>
      <c r="O231" s="170">
        <f t="shared" si="207"/>
        <v>1926.2939999999999</v>
      </c>
      <c r="P231" s="170">
        <f t="shared" si="207"/>
        <v>2065.5029999999997</v>
      </c>
      <c r="Q231" s="170"/>
      <c r="R231" s="168"/>
      <c r="S231" s="168"/>
    </row>
    <row r="232" spans="1:19">
      <c r="A232" s="119" t="s">
        <v>81</v>
      </c>
      <c r="E232" s="170">
        <f t="shared" ref="E232:P232" si="208">(E229+E231)/2</f>
        <v>120.3105</v>
      </c>
      <c r="F232" s="170">
        <f t="shared" si="208"/>
        <v>304.62849999999997</v>
      </c>
      <c r="G232" s="170">
        <f t="shared" si="208"/>
        <v>433.78599999999994</v>
      </c>
      <c r="H232" s="170">
        <f t="shared" si="208"/>
        <v>618.88649999999996</v>
      </c>
      <c r="I232" s="170">
        <f t="shared" si="208"/>
        <v>807.07999999999993</v>
      </c>
      <c r="J232" s="170">
        <f t="shared" si="208"/>
        <v>945.29349999999999</v>
      </c>
      <c r="K232" s="170">
        <f t="shared" si="208"/>
        <v>1141.5409999999999</v>
      </c>
      <c r="L232" s="170">
        <f t="shared" si="208"/>
        <v>1337.3494999999998</v>
      </c>
      <c r="M232" s="170">
        <f t="shared" si="208"/>
        <v>1476.616</v>
      </c>
      <c r="N232" s="170">
        <f t="shared" si="208"/>
        <v>1668.971</v>
      </c>
      <c r="O232" s="170">
        <f t="shared" si="208"/>
        <v>1858.9424999999999</v>
      </c>
      <c r="P232" s="170">
        <f t="shared" si="208"/>
        <v>1995.8984999999998</v>
      </c>
      <c r="Q232" s="170"/>
      <c r="R232" s="168"/>
      <c r="S232" s="168"/>
    </row>
    <row r="233" spans="1:19">
      <c r="R233" s="168"/>
      <c r="S233" s="168"/>
    </row>
    <row r="234" spans="1:19" ht="30">
      <c r="A234" s="177" t="s">
        <v>90</v>
      </c>
      <c r="B234" s="166"/>
      <c r="D234" s="119">
        <f>$C$5</f>
        <v>1</v>
      </c>
      <c r="E234" s="172">
        <f>ROUND(CAP15.3!I126,0)*$D$234</f>
        <v>0</v>
      </c>
      <c r="F234" s="172">
        <f>ROUND(CAP15.3!J126,0)*$D$234</f>
        <v>0</v>
      </c>
      <c r="G234" s="172">
        <f>ROUND(CAP15.3!K126,0)*$D$234</f>
        <v>0</v>
      </c>
      <c r="H234" s="172">
        <f>ROUND(CAP15.3!L126,0)*$D$234</f>
        <v>0</v>
      </c>
      <c r="I234" s="172">
        <f>ROUND(CAP15.3!M126,0)*$D$234</f>
        <v>0</v>
      </c>
      <c r="J234" s="172">
        <f>ROUND(CAP15.3!N126,0)*$D$234</f>
        <v>0</v>
      </c>
      <c r="K234" s="172">
        <f>ROUND(CAP15.3!O126,0)*$D$234</f>
        <v>0</v>
      </c>
      <c r="L234" s="172">
        <f>ROUND(CAP15.3!P126,0)*$D$234</f>
        <v>0</v>
      </c>
      <c r="M234" s="172">
        <f>ROUND(CAP15.3!Q126,0)*$D$234</f>
        <v>0</v>
      </c>
      <c r="N234" s="172">
        <f>ROUND(CAP15.3!R126,0)*$D$234</f>
        <v>2955130</v>
      </c>
      <c r="O234" s="172">
        <f>ROUND(CAP15.3!S126,0)*$D$234</f>
        <v>274890</v>
      </c>
      <c r="P234" s="172">
        <f>ROUND(CAP15.3!T126,0)*$D$234</f>
        <v>274891</v>
      </c>
      <c r="Q234" s="172"/>
      <c r="R234" s="168">
        <f>SUM(E234:P234)/1000</f>
        <v>3504.9110000000001</v>
      </c>
      <c r="S234" s="168">
        <f>SUM(E239:P239)/12</f>
        <v>661.46712500000001</v>
      </c>
    </row>
    <row r="235" spans="1:19">
      <c r="A235" s="169" t="s">
        <v>82</v>
      </c>
      <c r="B235" s="169"/>
      <c r="R235" s="168"/>
      <c r="S235" s="168"/>
    </row>
    <row r="236" spans="1:19">
      <c r="A236" s="119" t="s">
        <v>78</v>
      </c>
      <c r="E236" s="119">
        <v>0</v>
      </c>
      <c r="F236" s="170">
        <f t="shared" ref="F236:P236" si="209">E238</f>
        <v>0</v>
      </c>
      <c r="G236" s="170">
        <f t="shared" si="209"/>
        <v>0</v>
      </c>
      <c r="H236" s="170">
        <f t="shared" si="209"/>
        <v>0</v>
      </c>
      <c r="I236" s="170">
        <f t="shared" si="209"/>
        <v>0</v>
      </c>
      <c r="J236" s="170">
        <f t="shared" si="209"/>
        <v>0</v>
      </c>
      <c r="K236" s="170">
        <f t="shared" si="209"/>
        <v>0</v>
      </c>
      <c r="L236" s="170">
        <f t="shared" si="209"/>
        <v>0</v>
      </c>
      <c r="M236" s="170">
        <f t="shared" si="209"/>
        <v>0</v>
      </c>
      <c r="N236" s="170">
        <f t="shared" si="209"/>
        <v>0</v>
      </c>
      <c r="O236" s="170">
        <f t="shared" si="209"/>
        <v>2955.13</v>
      </c>
      <c r="P236" s="170">
        <f t="shared" si="209"/>
        <v>3230.02</v>
      </c>
      <c r="Q236" s="170"/>
      <c r="R236" s="168"/>
      <c r="S236" s="168"/>
    </row>
    <row r="237" spans="1:19">
      <c r="A237" s="119" t="s">
        <v>79</v>
      </c>
      <c r="E237" s="170">
        <f>E234/1000</f>
        <v>0</v>
      </c>
      <c r="F237" s="170">
        <f t="shared" ref="F237:P237" si="210">F234/1000</f>
        <v>0</v>
      </c>
      <c r="G237" s="170">
        <f t="shared" si="210"/>
        <v>0</v>
      </c>
      <c r="H237" s="170">
        <f t="shared" si="210"/>
        <v>0</v>
      </c>
      <c r="I237" s="170">
        <f t="shared" si="210"/>
        <v>0</v>
      </c>
      <c r="J237" s="170">
        <f t="shared" si="210"/>
        <v>0</v>
      </c>
      <c r="K237" s="170">
        <f t="shared" si="210"/>
        <v>0</v>
      </c>
      <c r="L237" s="170">
        <f t="shared" si="210"/>
        <v>0</v>
      </c>
      <c r="M237" s="170">
        <f t="shared" si="210"/>
        <v>0</v>
      </c>
      <c r="N237" s="170">
        <f t="shared" si="210"/>
        <v>2955.13</v>
      </c>
      <c r="O237" s="170">
        <f t="shared" si="210"/>
        <v>274.89</v>
      </c>
      <c r="P237" s="170">
        <f t="shared" si="210"/>
        <v>274.89100000000002</v>
      </c>
      <c r="Q237" s="170"/>
      <c r="R237" s="168"/>
      <c r="S237" s="168"/>
    </row>
    <row r="238" spans="1:19">
      <c r="A238" s="119" t="s">
        <v>80</v>
      </c>
      <c r="E238" s="170">
        <f t="shared" ref="E238:P238" si="211">E236+E237</f>
        <v>0</v>
      </c>
      <c r="F238" s="170">
        <f t="shared" si="211"/>
        <v>0</v>
      </c>
      <c r="G238" s="170">
        <f t="shared" si="211"/>
        <v>0</v>
      </c>
      <c r="H238" s="170">
        <f t="shared" si="211"/>
        <v>0</v>
      </c>
      <c r="I238" s="170">
        <f t="shared" si="211"/>
        <v>0</v>
      </c>
      <c r="J238" s="170">
        <f t="shared" si="211"/>
        <v>0</v>
      </c>
      <c r="K238" s="170">
        <f t="shared" si="211"/>
        <v>0</v>
      </c>
      <c r="L238" s="170">
        <f t="shared" si="211"/>
        <v>0</v>
      </c>
      <c r="M238" s="170">
        <f t="shared" si="211"/>
        <v>0</v>
      </c>
      <c r="N238" s="170">
        <f t="shared" si="211"/>
        <v>2955.13</v>
      </c>
      <c r="O238" s="170">
        <f t="shared" si="211"/>
        <v>3230.02</v>
      </c>
      <c r="P238" s="170">
        <f t="shared" si="211"/>
        <v>3504.9110000000001</v>
      </c>
      <c r="Q238" s="170"/>
      <c r="R238" s="168"/>
      <c r="S238" s="168"/>
    </row>
    <row r="239" spans="1:19">
      <c r="A239" s="119" t="s">
        <v>81</v>
      </c>
      <c r="E239" s="170">
        <f t="shared" ref="E239:P239" si="212">(E236+E238)/2</f>
        <v>0</v>
      </c>
      <c r="F239" s="170">
        <f t="shared" si="212"/>
        <v>0</v>
      </c>
      <c r="G239" s="170">
        <f t="shared" si="212"/>
        <v>0</v>
      </c>
      <c r="H239" s="170">
        <f t="shared" si="212"/>
        <v>0</v>
      </c>
      <c r="I239" s="170">
        <f t="shared" si="212"/>
        <v>0</v>
      </c>
      <c r="J239" s="170">
        <f t="shared" si="212"/>
        <v>0</v>
      </c>
      <c r="K239" s="170">
        <f t="shared" si="212"/>
        <v>0</v>
      </c>
      <c r="L239" s="170">
        <f t="shared" si="212"/>
        <v>0</v>
      </c>
      <c r="M239" s="170">
        <f t="shared" si="212"/>
        <v>0</v>
      </c>
      <c r="N239" s="170">
        <f t="shared" si="212"/>
        <v>1477.5650000000001</v>
      </c>
      <c r="O239" s="170">
        <f t="shared" si="212"/>
        <v>3092.5749999999998</v>
      </c>
      <c r="P239" s="170">
        <f t="shared" si="212"/>
        <v>3367.4655000000002</v>
      </c>
      <c r="Q239" s="170"/>
      <c r="R239" s="168"/>
      <c r="S239" s="168"/>
    </row>
    <row r="240" spans="1:19">
      <c r="E240" s="170"/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  <c r="P240" s="170"/>
      <c r="Q240" s="170"/>
      <c r="R240" s="168"/>
      <c r="S240" s="168"/>
    </row>
    <row r="241" spans="1:19"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68"/>
      <c r="S241" s="168"/>
    </row>
    <row r="242" spans="1:19" ht="30">
      <c r="A242" s="177" t="s">
        <v>91</v>
      </c>
      <c r="B242" s="166"/>
      <c r="D242" s="119">
        <f>$C$5</f>
        <v>1</v>
      </c>
      <c r="E242" s="172">
        <f>ROUND(CAP15.3!I123,0)*$D$242</f>
        <v>0</v>
      </c>
      <c r="F242" s="172">
        <f>ROUND(CAP15.3!J123,0)*$D$242</f>
        <v>0</v>
      </c>
      <c r="G242" s="172">
        <f>ROUND(CAP15.3!K123,0)*$D$242</f>
        <v>0</v>
      </c>
      <c r="H242" s="172">
        <f>ROUND(CAP15.3!L123,0)*$D$242</f>
        <v>0</v>
      </c>
      <c r="I242" s="172">
        <f>ROUND(CAP15.3!M123,0)*$D$242</f>
        <v>0</v>
      </c>
      <c r="J242" s="172">
        <f>ROUND(CAP15.3!N123,0)*$D$242</f>
        <v>0</v>
      </c>
      <c r="K242" s="172">
        <f>ROUND(CAP15.3!O123,0)*$D$242</f>
        <v>0</v>
      </c>
      <c r="L242" s="172">
        <f>ROUND(CAP15.3!P123,0)*$D$242</f>
        <v>0</v>
      </c>
      <c r="M242" s="172">
        <f>ROUND(CAP15.3!Q123,0)*$D$242</f>
        <v>0</v>
      </c>
      <c r="N242" s="172">
        <f>ROUND(CAP15.3!R123,0)*$D$242</f>
        <v>506294</v>
      </c>
      <c r="O242" s="172">
        <f>ROUND(CAP15.3!S123,0)*$D$242</f>
        <v>5047003</v>
      </c>
      <c r="P242" s="172">
        <f>ROUND(CAP15.3!T123,0)*$D$242</f>
        <v>47095</v>
      </c>
      <c r="Q242" s="172"/>
      <c r="R242" s="168">
        <f>SUM(E242:P242)/1000</f>
        <v>5600.3919999999998</v>
      </c>
      <c r="S242" s="168">
        <f>SUM(E247:P247)/12</f>
        <v>738.31558333333317</v>
      </c>
    </row>
    <row r="243" spans="1:19">
      <c r="A243" s="169" t="s">
        <v>82</v>
      </c>
      <c r="B243" s="169"/>
      <c r="R243" s="168"/>
      <c r="S243" s="168"/>
    </row>
    <row r="244" spans="1:19">
      <c r="A244" s="119" t="s">
        <v>78</v>
      </c>
      <c r="E244" s="119">
        <v>0</v>
      </c>
      <c r="F244" s="170">
        <f t="shared" ref="F244:P244" si="213">E246</f>
        <v>0</v>
      </c>
      <c r="G244" s="170">
        <f t="shared" si="213"/>
        <v>0</v>
      </c>
      <c r="H244" s="170">
        <f t="shared" si="213"/>
        <v>0</v>
      </c>
      <c r="I244" s="170">
        <f t="shared" si="213"/>
        <v>0</v>
      </c>
      <c r="J244" s="170">
        <f t="shared" si="213"/>
        <v>0</v>
      </c>
      <c r="K244" s="170">
        <f t="shared" si="213"/>
        <v>0</v>
      </c>
      <c r="L244" s="170">
        <f t="shared" si="213"/>
        <v>0</v>
      </c>
      <c r="M244" s="170">
        <f t="shared" si="213"/>
        <v>0</v>
      </c>
      <c r="N244" s="170">
        <f t="shared" si="213"/>
        <v>0</v>
      </c>
      <c r="O244" s="170">
        <f t="shared" si="213"/>
        <v>506.29399999999998</v>
      </c>
      <c r="P244" s="170">
        <f t="shared" si="213"/>
        <v>5553.2969999999996</v>
      </c>
      <c r="Q244" s="170"/>
      <c r="R244" s="168"/>
      <c r="S244" s="168"/>
    </row>
    <row r="245" spans="1:19">
      <c r="A245" s="119" t="s">
        <v>79</v>
      </c>
      <c r="E245" s="170">
        <f>E242/1000</f>
        <v>0</v>
      </c>
      <c r="F245" s="170">
        <f t="shared" ref="F245:P245" si="214">F242/1000</f>
        <v>0</v>
      </c>
      <c r="G245" s="170">
        <f t="shared" si="214"/>
        <v>0</v>
      </c>
      <c r="H245" s="170">
        <f t="shared" si="214"/>
        <v>0</v>
      </c>
      <c r="I245" s="170">
        <f t="shared" si="214"/>
        <v>0</v>
      </c>
      <c r="J245" s="170">
        <f t="shared" si="214"/>
        <v>0</v>
      </c>
      <c r="K245" s="170">
        <f t="shared" si="214"/>
        <v>0</v>
      </c>
      <c r="L245" s="170">
        <f t="shared" si="214"/>
        <v>0</v>
      </c>
      <c r="M245" s="170">
        <f t="shared" si="214"/>
        <v>0</v>
      </c>
      <c r="N245" s="170">
        <f t="shared" si="214"/>
        <v>506.29399999999998</v>
      </c>
      <c r="O245" s="170">
        <f t="shared" si="214"/>
        <v>5047.0029999999997</v>
      </c>
      <c r="P245" s="170">
        <f t="shared" si="214"/>
        <v>47.094999999999999</v>
      </c>
      <c r="Q245" s="170"/>
      <c r="R245" s="168"/>
      <c r="S245" s="168"/>
    </row>
    <row r="246" spans="1:19">
      <c r="A246" s="119" t="s">
        <v>80</v>
      </c>
      <c r="E246" s="170">
        <f t="shared" ref="E246:P246" si="215">E244+E245</f>
        <v>0</v>
      </c>
      <c r="F246" s="170">
        <f t="shared" si="215"/>
        <v>0</v>
      </c>
      <c r="G246" s="170">
        <f t="shared" si="215"/>
        <v>0</v>
      </c>
      <c r="H246" s="170">
        <f t="shared" si="215"/>
        <v>0</v>
      </c>
      <c r="I246" s="170">
        <f t="shared" si="215"/>
        <v>0</v>
      </c>
      <c r="J246" s="170">
        <f t="shared" si="215"/>
        <v>0</v>
      </c>
      <c r="K246" s="170">
        <f t="shared" si="215"/>
        <v>0</v>
      </c>
      <c r="L246" s="170">
        <f t="shared" si="215"/>
        <v>0</v>
      </c>
      <c r="M246" s="170">
        <f t="shared" si="215"/>
        <v>0</v>
      </c>
      <c r="N246" s="170">
        <f t="shared" si="215"/>
        <v>506.29399999999998</v>
      </c>
      <c r="O246" s="170">
        <f t="shared" si="215"/>
        <v>5553.2969999999996</v>
      </c>
      <c r="P246" s="170">
        <f t="shared" si="215"/>
        <v>5600.3919999999998</v>
      </c>
      <c r="Q246" s="170"/>
      <c r="R246" s="168"/>
      <c r="S246" s="168"/>
    </row>
    <row r="247" spans="1:19">
      <c r="A247" s="119" t="s">
        <v>81</v>
      </c>
      <c r="E247" s="170">
        <f t="shared" ref="E247:P247" si="216">(E244+E246)/2</f>
        <v>0</v>
      </c>
      <c r="F247" s="170">
        <f t="shared" si="216"/>
        <v>0</v>
      </c>
      <c r="G247" s="170">
        <f t="shared" si="216"/>
        <v>0</v>
      </c>
      <c r="H247" s="170">
        <f t="shared" si="216"/>
        <v>0</v>
      </c>
      <c r="I247" s="170">
        <f t="shared" si="216"/>
        <v>0</v>
      </c>
      <c r="J247" s="170">
        <f t="shared" si="216"/>
        <v>0</v>
      </c>
      <c r="K247" s="170">
        <f t="shared" si="216"/>
        <v>0</v>
      </c>
      <c r="L247" s="170">
        <f t="shared" si="216"/>
        <v>0</v>
      </c>
      <c r="M247" s="170">
        <f>(M244+M246)/2</f>
        <v>0</v>
      </c>
      <c r="N247" s="170">
        <f t="shared" si="216"/>
        <v>253.14699999999999</v>
      </c>
      <c r="O247" s="170">
        <f t="shared" si="216"/>
        <v>3029.7954999999997</v>
      </c>
      <c r="P247" s="170">
        <f t="shared" si="216"/>
        <v>5576.8444999999992</v>
      </c>
      <c r="Q247" s="170"/>
      <c r="R247" s="168"/>
      <c r="S247" s="168"/>
    </row>
    <row r="248" spans="1:19">
      <c r="E248" s="170"/>
      <c r="F248" s="170"/>
      <c r="G248" s="170"/>
      <c r="H248" s="170"/>
      <c r="I248" s="170"/>
      <c r="J248" s="170"/>
      <c r="K248" s="170"/>
      <c r="L248" s="170"/>
      <c r="M248" s="170"/>
      <c r="N248" s="170"/>
      <c r="O248" s="170"/>
      <c r="P248" s="170"/>
      <c r="Q248" s="170"/>
      <c r="R248" s="168"/>
      <c r="S248" s="168"/>
    </row>
    <row r="249" spans="1:19"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68"/>
      <c r="S249" s="168"/>
    </row>
    <row r="250" spans="1:19" ht="30">
      <c r="A250" s="177" t="s">
        <v>92</v>
      </c>
      <c r="B250" s="166"/>
      <c r="D250" s="119">
        <f>$C$5</f>
        <v>1</v>
      </c>
      <c r="E250" s="172">
        <f>ROUND(CAP15.3!I119,0)*$D$250</f>
        <v>0</v>
      </c>
      <c r="F250" s="172">
        <f>ROUND(CAP15.3!J119,0)*$D$250</f>
        <v>0</v>
      </c>
      <c r="G250" s="172">
        <f>ROUND(CAP15.3!K119,0)*$D$250</f>
        <v>0</v>
      </c>
      <c r="H250" s="172">
        <f>ROUND(CAP15.3!L119,0)*$D$250</f>
        <v>0</v>
      </c>
      <c r="I250" s="172">
        <f>ROUND(CAP15.3!M119,0)*$D$250</f>
        <v>0</v>
      </c>
      <c r="J250" s="172">
        <f>ROUND(CAP15.3!N119,0)*$D$250</f>
        <v>0</v>
      </c>
      <c r="K250" s="172">
        <f>ROUND(CAP15.3!O119,0)*$D$250</f>
        <v>0</v>
      </c>
      <c r="L250" s="172">
        <f>ROUND(CAP15.3!P119,0)*$D$250</f>
        <v>0</v>
      </c>
      <c r="M250" s="172">
        <f>ROUND(CAP15.3!Q119,0)*$D$250</f>
        <v>0</v>
      </c>
      <c r="N250" s="172">
        <f>ROUND(CAP15.3!R119,0)*$D$250</f>
        <v>999998</v>
      </c>
      <c r="O250" s="172">
        <f>ROUND(CAP15.3!S119,0)*$D$250</f>
        <v>0</v>
      </c>
      <c r="P250" s="172">
        <f>ROUND(CAP15.3!T119,0)*$D$250</f>
        <v>0</v>
      </c>
      <c r="Q250" s="172"/>
      <c r="R250" s="168">
        <f>SUM(E250:P250)/1000</f>
        <v>999.99800000000005</v>
      </c>
      <c r="S250" s="168">
        <f>SUM(E255:P255)/12</f>
        <v>208.33291666666665</v>
      </c>
    </row>
    <row r="251" spans="1:19">
      <c r="A251" s="169" t="s">
        <v>82</v>
      </c>
      <c r="B251" s="169"/>
      <c r="R251" s="168"/>
      <c r="S251" s="168"/>
    </row>
    <row r="252" spans="1:19">
      <c r="A252" s="119" t="s">
        <v>78</v>
      </c>
      <c r="E252" s="119">
        <v>0</v>
      </c>
      <c r="F252" s="170">
        <f t="shared" ref="F252" si="217">E254</f>
        <v>0</v>
      </c>
      <c r="G252" s="170">
        <f t="shared" ref="G252" si="218">F254</f>
        <v>0</v>
      </c>
      <c r="H252" s="170">
        <f t="shared" ref="H252" si="219">G254</f>
        <v>0</v>
      </c>
      <c r="I252" s="170">
        <f t="shared" ref="I252" si="220">H254</f>
        <v>0</v>
      </c>
      <c r="J252" s="170">
        <f t="shared" ref="J252:K252" si="221">I254</f>
        <v>0</v>
      </c>
      <c r="K252" s="170">
        <f t="shared" si="221"/>
        <v>0</v>
      </c>
      <c r="L252" s="170">
        <f t="shared" ref="L252" si="222">K254</f>
        <v>0</v>
      </c>
      <c r="M252" s="170">
        <f t="shared" ref="M252" si="223">L254</f>
        <v>0</v>
      </c>
      <c r="N252" s="170">
        <f t="shared" ref="N252" si="224">M254</f>
        <v>0</v>
      </c>
      <c r="O252" s="170">
        <f t="shared" ref="O252" si="225">N254</f>
        <v>999.99800000000005</v>
      </c>
      <c r="P252" s="170">
        <f t="shared" ref="P252" si="226">O254</f>
        <v>999.99800000000005</v>
      </c>
      <c r="Q252" s="172"/>
      <c r="R252" s="168"/>
      <c r="S252" s="168"/>
    </row>
    <row r="253" spans="1:19">
      <c r="A253" s="119" t="s">
        <v>79</v>
      </c>
      <c r="E253" s="170">
        <f>E250/1000</f>
        <v>0</v>
      </c>
      <c r="F253" s="170">
        <f t="shared" ref="F253:P253" si="227">F250/1000</f>
        <v>0</v>
      </c>
      <c r="G253" s="170">
        <f t="shared" si="227"/>
        <v>0</v>
      </c>
      <c r="H253" s="170">
        <f t="shared" si="227"/>
        <v>0</v>
      </c>
      <c r="I253" s="170">
        <f t="shared" si="227"/>
        <v>0</v>
      </c>
      <c r="J253" s="170">
        <f t="shared" si="227"/>
        <v>0</v>
      </c>
      <c r="K253" s="170">
        <f t="shared" si="227"/>
        <v>0</v>
      </c>
      <c r="L253" s="170">
        <f t="shared" si="227"/>
        <v>0</v>
      </c>
      <c r="M253" s="170">
        <f t="shared" si="227"/>
        <v>0</v>
      </c>
      <c r="N253" s="170">
        <f t="shared" si="227"/>
        <v>999.99800000000005</v>
      </c>
      <c r="O253" s="170">
        <f t="shared" si="227"/>
        <v>0</v>
      </c>
      <c r="P253" s="170">
        <f t="shared" si="227"/>
        <v>0</v>
      </c>
      <c r="Q253" s="172"/>
      <c r="R253" s="168"/>
      <c r="S253" s="168"/>
    </row>
    <row r="254" spans="1:19">
      <c r="A254" s="119" t="s">
        <v>80</v>
      </c>
      <c r="E254" s="170">
        <f t="shared" ref="E254:P254" si="228">E252+E253</f>
        <v>0</v>
      </c>
      <c r="F254" s="170">
        <f t="shared" si="228"/>
        <v>0</v>
      </c>
      <c r="G254" s="170">
        <f t="shared" si="228"/>
        <v>0</v>
      </c>
      <c r="H254" s="170">
        <f t="shared" si="228"/>
        <v>0</v>
      </c>
      <c r="I254" s="170">
        <f t="shared" si="228"/>
        <v>0</v>
      </c>
      <c r="J254" s="170">
        <f t="shared" si="228"/>
        <v>0</v>
      </c>
      <c r="K254" s="170">
        <f t="shared" si="228"/>
        <v>0</v>
      </c>
      <c r="L254" s="170">
        <f t="shared" si="228"/>
        <v>0</v>
      </c>
      <c r="M254" s="170">
        <f t="shared" si="228"/>
        <v>0</v>
      </c>
      <c r="N254" s="170">
        <f t="shared" si="228"/>
        <v>999.99800000000005</v>
      </c>
      <c r="O254" s="170">
        <f t="shared" si="228"/>
        <v>999.99800000000005</v>
      </c>
      <c r="P254" s="170">
        <f t="shared" si="228"/>
        <v>999.99800000000005</v>
      </c>
      <c r="Q254" s="172"/>
      <c r="R254" s="168"/>
      <c r="S254" s="168"/>
    </row>
    <row r="255" spans="1:19">
      <c r="A255" s="119" t="s">
        <v>81</v>
      </c>
      <c r="E255" s="170">
        <f t="shared" ref="E255:L255" si="229">(E252+E254)/2</f>
        <v>0</v>
      </c>
      <c r="F255" s="170">
        <f t="shared" si="229"/>
        <v>0</v>
      </c>
      <c r="G255" s="170">
        <f t="shared" si="229"/>
        <v>0</v>
      </c>
      <c r="H255" s="170">
        <f t="shared" si="229"/>
        <v>0</v>
      </c>
      <c r="I255" s="170">
        <f t="shared" si="229"/>
        <v>0</v>
      </c>
      <c r="J255" s="170">
        <f t="shared" si="229"/>
        <v>0</v>
      </c>
      <c r="K255" s="170">
        <f t="shared" si="229"/>
        <v>0</v>
      </c>
      <c r="L255" s="170">
        <f t="shared" si="229"/>
        <v>0</v>
      </c>
      <c r="M255" s="170">
        <f>(M252+M254)/2</f>
        <v>0</v>
      </c>
      <c r="N255" s="170">
        <f t="shared" ref="N255:P255" si="230">(N252+N254)/2</f>
        <v>499.99900000000002</v>
      </c>
      <c r="O255" s="170">
        <f t="shared" si="230"/>
        <v>999.99800000000005</v>
      </c>
      <c r="P255" s="170">
        <f t="shared" si="230"/>
        <v>999.99800000000005</v>
      </c>
      <c r="Q255" s="172"/>
      <c r="R255" s="168"/>
      <c r="S255" s="168"/>
    </row>
    <row r="256" spans="1:19">
      <c r="E256" s="170"/>
      <c r="F256" s="170"/>
      <c r="G256" s="170"/>
      <c r="H256" s="170"/>
      <c r="I256" s="170"/>
      <c r="J256" s="170"/>
      <c r="K256" s="170"/>
      <c r="L256" s="170"/>
      <c r="M256" s="170"/>
      <c r="N256" s="170"/>
      <c r="O256" s="170"/>
      <c r="P256" s="170"/>
      <c r="Q256" s="170"/>
      <c r="R256" s="168"/>
      <c r="S256" s="168"/>
    </row>
    <row r="257" spans="1:19"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68"/>
      <c r="S257" s="168"/>
    </row>
    <row r="258" spans="1:19" ht="30">
      <c r="A258" s="177" t="s">
        <v>93</v>
      </c>
      <c r="B258" s="166"/>
      <c r="D258" s="119">
        <f>$C$5</f>
        <v>1</v>
      </c>
      <c r="E258" s="172">
        <f>ROUND(CAP15.3!I116,0)*$D$258</f>
        <v>31842</v>
      </c>
      <c r="F258" s="172">
        <f>ROUND(CAP15.3!J116,0)*$D$258</f>
        <v>26106</v>
      </c>
      <c r="G258" s="172">
        <f>ROUND(CAP15.3!K116,0)*$D$258</f>
        <v>27207</v>
      </c>
      <c r="H258" s="172">
        <f>ROUND(CAP15.3!L116,0)*$D$258</f>
        <v>29877</v>
      </c>
      <c r="I258" s="172">
        <f>ROUND(CAP15.3!M116,0)*$D$258</f>
        <v>34453</v>
      </c>
      <c r="J258" s="172">
        <f>ROUND(CAP15.3!N116,0)*$D$258</f>
        <v>33317</v>
      </c>
      <c r="K258" s="172">
        <f>ROUND(CAP15.3!O116,0)*$D$258</f>
        <v>37953</v>
      </c>
      <c r="L258" s="172">
        <f>ROUND(CAP15.3!P116,0)*$D$258</f>
        <v>34696</v>
      </c>
      <c r="M258" s="172">
        <f>ROUND(CAP15.3!Q116,0)*$D$258</f>
        <v>35106</v>
      </c>
      <c r="N258" s="172">
        <f>ROUND(CAP15.3!R116,0)*$D$258</f>
        <v>36268</v>
      </c>
      <c r="O258" s="172">
        <f>ROUND(CAP15.3!S116,0)*$D$258</f>
        <v>30441</v>
      </c>
      <c r="P258" s="172">
        <f>ROUND(CAP15.3!T116,0)*$D$258</f>
        <v>42734</v>
      </c>
      <c r="Q258" s="178"/>
      <c r="R258" s="168">
        <f>SUM(E258:P258)/1000</f>
        <v>400</v>
      </c>
      <c r="S258" s="168">
        <f>SUM(E263:P263)/12</f>
        <v>189.42650000000003</v>
      </c>
    </row>
    <row r="259" spans="1:19">
      <c r="A259" s="169" t="s">
        <v>82</v>
      </c>
      <c r="B259" s="169"/>
      <c r="R259" s="168"/>
      <c r="S259" s="168"/>
    </row>
    <row r="260" spans="1:19">
      <c r="A260" s="119" t="s">
        <v>78</v>
      </c>
      <c r="E260" s="119">
        <v>0</v>
      </c>
      <c r="F260" s="170">
        <f t="shared" ref="F260" si="231">E262</f>
        <v>31.841999999999999</v>
      </c>
      <c r="G260" s="170">
        <f t="shared" ref="G260" si="232">F262</f>
        <v>57.948</v>
      </c>
      <c r="H260" s="170">
        <f t="shared" ref="H260" si="233">G262</f>
        <v>85.155000000000001</v>
      </c>
      <c r="I260" s="170">
        <f t="shared" ref="I260" si="234">H262</f>
        <v>115.032</v>
      </c>
      <c r="J260" s="170">
        <f t="shared" ref="J260:K260" si="235">I262</f>
        <v>149.48500000000001</v>
      </c>
      <c r="K260" s="170">
        <f t="shared" si="235"/>
        <v>182.80200000000002</v>
      </c>
      <c r="L260" s="170">
        <f t="shared" ref="L260" si="236">K262</f>
        <v>220.75500000000002</v>
      </c>
      <c r="M260" s="170">
        <f t="shared" ref="M260" si="237">L262</f>
        <v>255.45100000000002</v>
      </c>
      <c r="N260" s="170">
        <f t="shared" ref="N260" si="238">M262</f>
        <v>290.55700000000002</v>
      </c>
      <c r="O260" s="170">
        <f t="shared" ref="O260" si="239">N262</f>
        <v>326.82500000000005</v>
      </c>
      <c r="P260" s="170">
        <f t="shared" ref="P260" si="240">O262</f>
        <v>357.26600000000002</v>
      </c>
      <c r="Q260" s="170"/>
      <c r="R260" s="168"/>
      <c r="S260" s="168"/>
    </row>
    <row r="261" spans="1:19">
      <c r="A261" s="119" t="s">
        <v>79</v>
      </c>
      <c r="E261" s="170">
        <f>E258/1000</f>
        <v>31.841999999999999</v>
      </c>
      <c r="F261" s="170">
        <f t="shared" ref="F261:P261" si="241">F258/1000</f>
        <v>26.106000000000002</v>
      </c>
      <c r="G261" s="170">
        <f t="shared" si="241"/>
        <v>27.207000000000001</v>
      </c>
      <c r="H261" s="170">
        <f t="shared" si="241"/>
        <v>29.876999999999999</v>
      </c>
      <c r="I261" s="170">
        <f t="shared" si="241"/>
        <v>34.453000000000003</v>
      </c>
      <c r="J261" s="170">
        <f t="shared" si="241"/>
        <v>33.317</v>
      </c>
      <c r="K261" s="170">
        <f t="shared" si="241"/>
        <v>37.953000000000003</v>
      </c>
      <c r="L261" s="170">
        <f t="shared" si="241"/>
        <v>34.695999999999998</v>
      </c>
      <c r="M261" s="170">
        <f t="shared" si="241"/>
        <v>35.106000000000002</v>
      </c>
      <c r="N261" s="170">
        <f t="shared" si="241"/>
        <v>36.268000000000001</v>
      </c>
      <c r="O261" s="170">
        <f t="shared" si="241"/>
        <v>30.440999999999999</v>
      </c>
      <c r="P261" s="170">
        <f t="shared" si="241"/>
        <v>42.734000000000002</v>
      </c>
      <c r="Q261" s="170"/>
      <c r="R261" s="168"/>
      <c r="S261" s="168"/>
    </row>
    <row r="262" spans="1:19">
      <c r="A262" s="119" t="s">
        <v>80</v>
      </c>
      <c r="E262" s="170">
        <f t="shared" ref="E262:P262" si="242">E260+E261</f>
        <v>31.841999999999999</v>
      </c>
      <c r="F262" s="170">
        <f t="shared" si="242"/>
        <v>57.948</v>
      </c>
      <c r="G262" s="170">
        <f t="shared" si="242"/>
        <v>85.155000000000001</v>
      </c>
      <c r="H262" s="170">
        <f t="shared" si="242"/>
        <v>115.032</v>
      </c>
      <c r="I262" s="170">
        <f t="shared" si="242"/>
        <v>149.48500000000001</v>
      </c>
      <c r="J262" s="170">
        <f t="shared" si="242"/>
        <v>182.80200000000002</v>
      </c>
      <c r="K262" s="170">
        <f t="shared" si="242"/>
        <v>220.75500000000002</v>
      </c>
      <c r="L262" s="170">
        <f t="shared" si="242"/>
        <v>255.45100000000002</v>
      </c>
      <c r="M262" s="170">
        <f t="shared" si="242"/>
        <v>290.55700000000002</v>
      </c>
      <c r="N262" s="170">
        <f t="shared" si="242"/>
        <v>326.82500000000005</v>
      </c>
      <c r="O262" s="170">
        <f t="shared" si="242"/>
        <v>357.26600000000002</v>
      </c>
      <c r="P262" s="170">
        <f t="shared" si="242"/>
        <v>400</v>
      </c>
      <c r="Q262" s="170"/>
      <c r="R262" s="168"/>
      <c r="S262" s="168"/>
    </row>
    <row r="263" spans="1:19">
      <c r="A263" s="119" t="s">
        <v>81</v>
      </c>
      <c r="E263" s="170">
        <f t="shared" ref="E263:L263" si="243">(E260+E262)/2</f>
        <v>15.920999999999999</v>
      </c>
      <c r="F263" s="170">
        <f t="shared" si="243"/>
        <v>44.894999999999996</v>
      </c>
      <c r="G263" s="170">
        <f t="shared" si="243"/>
        <v>71.551500000000004</v>
      </c>
      <c r="H263" s="170">
        <f t="shared" si="243"/>
        <v>100.09350000000001</v>
      </c>
      <c r="I263" s="170">
        <f t="shared" si="243"/>
        <v>132.2585</v>
      </c>
      <c r="J263" s="170">
        <f t="shared" si="243"/>
        <v>166.14350000000002</v>
      </c>
      <c r="K263" s="170">
        <f t="shared" si="243"/>
        <v>201.77850000000001</v>
      </c>
      <c r="L263" s="170">
        <f t="shared" si="243"/>
        <v>238.10300000000001</v>
      </c>
      <c r="M263" s="170">
        <f>(M260+M262)/2</f>
        <v>273.00400000000002</v>
      </c>
      <c r="N263" s="170">
        <f t="shared" ref="N263:P263" si="244">(N260+N262)/2</f>
        <v>308.69100000000003</v>
      </c>
      <c r="O263" s="170">
        <f t="shared" si="244"/>
        <v>342.04550000000006</v>
      </c>
      <c r="P263" s="170">
        <f t="shared" si="244"/>
        <v>378.63300000000004</v>
      </c>
      <c r="Q263" s="170"/>
      <c r="R263" s="168"/>
      <c r="S263" s="168"/>
    </row>
    <row r="264" spans="1:19"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68"/>
      <c r="S264" s="168"/>
    </row>
    <row r="265" spans="1:19">
      <c r="E265" s="170"/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68"/>
      <c r="S265" s="168"/>
    </row>
    <row r="266" spans="1:19" ht="30">
      <c r="A266" s="177" t="s">
        <v>154</v>
      </c>
      <c r="B266" s="166">
        <v>3000</v>
      </c>
      <c r="D266" s="119">
        <f>C5</f>
        <v>1</v>
      </c>
      <c r="E266" s="172">
        <f>ROUND(CAP15.3!I102,0)*$D$266</f>
        <v>67722</v>
      </c>
      <c r="F266" s="172">
        <f>ROUND(CAP15.3!J102,0)*$D$266</f>
        <v>56232</v>
      </c>
      <c r="G266" s="172">
        <f>ROUND(CAP15.3!K102,0)*$D$266</f>
        <v>66424</v>
      </c>
      <c r="H266" s="172">
        <f>ROUND(CAP15.3!L102,0)*$D$266</f>
        <v>73760</v>
      </c>
      <c r="I266" s="172">
        <f>ROUND(CAP15.3!M102,0)*$D$266</f>
        <v>80903</v>
      </c>
      <c r="J266" s="172">
        <f>ROUND(CAP15.3!N102,0)*$D$266</f>
        <v>102625</v>
      </c>
      <c r="K266" s="172">
        <f>ROUND(CAP15.3!O102,0)*$D$266</f>
        <v>115924</v>
      </c>
      <c r="L266" s="172">
        <f>ROUND(CAP15.3!P102,0)*$D$266</f>
        <v>95376</v>
      </c>
      <c r="M266" s="172">
        <f>ROUND(CAP15.3!Q102,0)*$D$266</f>
        <v>96197</v>
      </c>
      <c r="N266" s="172">
        <f>ROUND(CAP15.3!R102,0)*$D$266</f>
        <v>86525</v>
      </c>
      <c r="O266" s="172">
        <f>ROUND(CAP15.3!S102,0)*$D$266</f>
        <v>80891</v>
      </c>
      <c r="P266" s="172">
        <f>ROUND(CAP15.3!T102,0)*$D$266</f>
        <v>77421</v>
      </c>
      <c r="Q266" s="178"/>
      <c r="R266" s="168">
        <f>SUM(E266:P266)/1000</f>
        <v>1000</v>
      </c>
      <c r="S266" s="168">
        <f>SUM(E271:P271)/12</f>
        <v>473.40708333333328</v>
      </c>
    </row>
    <row r="267" spans="1:19">
      <c r="A267" s="169" t="s">
        <v>82</v>
      </c>
      <c r="B267" s="169"/>
      <c r="R267" s="168"/>
      <c r="S267" s="168"/>
    </row>
    <row r="268" spans="1:19">
      <c r="A268" s="119" t="s">
        <v>78</v>
      </c>
      <c r="E268" s="119">
        <v>0</v>
      </c>
      <c r="F268" s="170">
        <f t="shared" ref="F268" si="245">E270</f>
        <v>67.721999999999994</v>
      </c>
      <c r="G268" s="170">
        <f t="shared" ref="G268" si="246">F270</f>
        <v>123.95399999999999</v>
      </c>
      <c r="H268" s="170">
        <f t="shared" ref="H268" si="247">G270</f>
        <v>190.37799999999999</v>
      </c>
      <c r="I268" s="170">
        <f t="shared" ref="I268" si="248">H270</f>
        <v>264.13799999999998</v>
      </c>
      <c r="J268" s="170">
        <f t="shared" ref="J268:K268" si="249">I270</f>
        <v>345.041</v>
      </c>
      <c r="K268" s="170">
        <f t="shared" si="249"/>
        <v>447.666</v>
      </c>
      <c r="L268" s="170">
        <f t="shared" ref="L268" si="250">K270</f>
        <v>563.59</v>
      </c>
      <c r="M268" s="170">
        <f t="shared" ref="M268" si="251">L270</f>
        <v>658.96600000000001</v>
      </c>
      <c r="N268" s="170">
        <f t="shared" ref="N268" si="252">M270</f>
        <v>755.16300000000001</v>
      </c>
      <c r="O268" s="170">
        <f t="shared" ref="O268" si="253">N270</f>
        <v>841.68799999999999</v>
      </c>
      <c r="P268" s="170">
        <f t="shared" ref="P268" si="254">O270</f>
        <v>922.57899999999995</v>
      </c>
      <c r="Q268" s="170"/>
      <c r="R268" s="168"/>
      <c r="S268" s="168"/>
    </row>
    <row r="269" spans="1:19">
      <c r="A269" s="119" t="s">
        <v>79</v>
      </c>
      <c r="E269" s="170">
        <f>E266/1000</f>
        <v>67.721999999999994</v>
      </c>
      <c r="F269" s="170">
        <f t="shared" ref="F269:P269" si="255">F266/1000</f>
        <v>56.231999999999999</v>
      </c>
      <c r="G269" s="170">
        <f t="shared" si="255"/>
        <v>66.424000000000007</v>
      </c>
      <c r="H269" s="170">
        <f t="shared" si="255"/>
        <v>73.760000000000005</v>
      </c>
      <c r="I269" s="170">
        <f t="shared" si="255"/>
        <v>80.903000000000006</v>
      </c>
      <c r="J269" s="170">
        <f t="shared" si="255"/>
        <v>102.625</v>
      </c>
      <c r="K269" s="170">
        <f t="shared" si="255"/>
        <v>115.92400000000001</v>
      </c>
      <c r="L269" s="170">
        <f t="shared" si="255"/>
        <v>95.376000000000005</v>
      </c>
      <c r="M269" s="170">
        <f t="shared" si="255"/>
        <v>96.197000000000003</v>
      </c>
      <c r="N269" s="170">
        <f t="shared" si="255"/>
        <v>86.525000000000006</v>
      </c>
      <c r="O269" s="170">
        <f t="shared" si="255"/>
        <v>80.891000000000005</v>
      </c>
      <c r="P269" s="170">
        <f t="shared" si="255"/>
        <v>77.421000000000006</v>
      </c>
      <c r="Q269" s="170"/>
      <c r="R269" s="168"/>
      <c r="S269" s="168"/>
    </row>
    <row r="270" spans="1:19">
      <c r="A270" s="119" t="s">
        <v>80</v>
      </c>
      <c r="E270" s="170">
        <f t="shared" ref="E270:P270" si="256">E268+E269</f>
        <v>67.721999999999994</v>
      </c>
      <c r="F270" s="170">
        <f t="shared" si="256"/>
        <v>123.95399999999999</v>
      </c>
      <c r="G270" s="170">
        <f t="shared" si="256"/>
        <v>190.37799999999999</v>
      </c>
      <c r="H270" s="170">
        <f t="shared" si="256"/>
        <v>264.13799999999998</v>
      </c>
      <c r="I270" s="170">
        <f t="shared" si="256"/>
        <v>345.041</v>
      </c>
      <c r="J270" s="170">
        <f t="shared" si="256"/>
        <v>447.666</v>
      </c>
      <c r="K270" s="170">
        <f t="shared" si="256"/>
        <v>563.59</v>
      </c>
      <c r="L270" s="170">
        <f t="shared" si="256"/>
        <v>658.96600000000001</v>
      </c>
      <c r="M270" s="170">
        <f t="shared" si="256"/>
        <v>755.16300000000001</v>
      </c>
      <c r="N270" s="170">
        <f t="shared" si="256"/>
        <v>841.68799999999999</v>
      </c>
      <c r="O270" s="170">
        <f t="shared" si="256"/>
        <v>922.57899999999995</v>
      </c>
      <c r="P270" s="170">
        <f t="shared" si="256"/>
        <v>1000</v>
      </c>
      <c r="Q270" s="170"/>
      <c r="R270" s="168"/>
      <c r="S270" s="168"/>
    </row>
    <row r="271" spans="1:19">
      <c r="A271" s="119" t="s">
        <v>81</v>
      </c>
      <c r="E271" s="170">
        <f t="shared" ref="E271:L271" si="257">(E268+E270)/2</f>
        <v>33.860999999999997</v>
      </c>
      <c r="F271" s="170">
        <f t="shared" si="257"/>
        <v>95.837999999999994</v>
      </c>
      <c r="G271" s="170">
        <f t="shared" si="257"/>
        <v>157.166</v>
      </c>
      <c r="H271" s="170">
        <f t="shared" si="257"/>
        <v>227.25799999999998</v>
      </c>
      <c r="I271" s="170">
        <f t="shared" si="257"/>
        <v>304.58949999999999</v>
      </c>
      <c r="J271" s="170">
        <f t="shared" si="257"/>
        <v>396.3535</v>
      </c>
      <c r="K271" s="170">
        <f t="shared" si="257"/>
        <v>505.62800000000004</v>
      </c>
      <c r="L271" s="170">
        <f t="shared" si="257"/>
        <v>611.27800000000002</v>
      </c>
      <c r="M271" s="170">
        <f>(M268+M270)/2</f>
        <v>707.06449999999995</v>
      </c>
      <c r="N271" s="170">
        <f t="shared" ref="N271:P271" si="258">(N268+N270)/2</f>
        <v>798.42550000000006</v>
      </c>
      <c r="O271" s="170">
        <f t="shared" si="258"/>
        <v>882.13349999999991</v>
      </c>
      <c r="P271" s="170">
        <f t="shared" si="258"/>
        <v>961.28949999999998</v>
      </c>
      <c r="Q271" s="170"/>
      <c r="R271" s="168"/>
      <c r="S271" s="168"/>
    </row>
    <row r="272" spans="1:19">
      <c r="E272" s="170"/>
      <c r="F272" s="170"/>
      <c r="G272" s="170"/>
      <c r="H272" s="170"/>
      <c r="I272" s="170"/>
      <c r="J272" s="170"/>
      <c r="K272" s="170"/>
      <c r="L272" s="170"/>
      <c r="M272" s="170"/>
      <c r="N272" s="170"/>
      <c r="O272" s="170"/>
      <c r="P272" s="170"/>
      <c r="Q272" s="170"/>
      <c r="R272" s="168"/>
      <c r="S272" s="168"/>
    </row>
    <row r="273" spans="1:19">
      <c r="E273" s="170"/>
      <c r="F273" s="170"/>
      <c r="G273" s="170"/>
      <c r="H273" s="170"/>
      <c r="I273" s="170"/>
      <c r="J273" s="170"/>
      <c r="K273" s="170"/>
      <c r="L273" s="170"/>
      <c r="M273" s="170"/>
      <c r="N273" s="170"/>
      <c r="O273" s="170"/>
      <c r="P273" s="170"/>
      <c r="Q273" s="170"/>
      <c r="R273" s="168"/>
      <c r="S273" s="168"/>
    </row>
    <row r="274" spans="1:19" ht="30">
      <c r="A274" s="177" t="s">
        <v>155</v>
      </c>
      <c r="B274" s="166">
        <v>3001</v>
      </c>
      <c r="D274" s="119">
        <f>C5</f>
        <v>1</v>
      </c>
      <c r="E274" s="172">
        <f>ROUND(CAP15.3!I103,0)*$D$274</f>
        <v>40000</v>
      </c>
      <c r="F274" s="172">
        <f>ROUND(CAP15.3!J103,0)*$D$274</f>
        <v>40000</v>
      </c>
      <c r="G274" s="172">
        <f>ROUND(CAP15.3!K103,0)*$D$274</f>
        <v>60000</v>
      </c>
      <c r="H274" s="172">
        <f>ROUND(CAP15.3!L103,0)*$D$274</f>
        <v>70000</v>
      </c>
      <c r="I274" s="172">
        <f>ROUND(CAP15.3!M103,0)*$D$274</f>
        <v>80000</v>
      </c>
      <c r="J274" s="172">
        <f>ROUND(CAP15.3!N103,0)*$D$274</f>
        <v>120000</v>
      </c>
      <c r="K274" s="172">
        <f>ROUND(CAP15.3!O103,0)*$D$274</f>
        <v>120000</v>
      </c>
      <c r="L274" s="172">
        <f>ROUND(CAP15.3!P103,0)*$D$274</f>
        <v>110000</v>
      </c>
      <c r="M274" s="172">
        <f>ROUND(CAP15.3!Q103,0)*$D$274</f>
        <v>110000</v>
      </c>
      <c r="N274" s="172">
        <f>ROUND(CAP15.3!R103,0)*$D$274</f>
        <v>90000</v>
      </c>
      <c r="O274" s="172">
        <f>ROUND(CAP15.3!S103,0)*$D$274</f>
        <v>80000</v>
      </c>
      <c r="P274" s="172">
        <f>ROUND(CAP15.3!T103,0)*$D$274</f>
        <v>80000</v>
      </c>
      <c r="Q274" s="178"/>
      <c r="R274" s="168">
        <f>SUM(E274:P274)/1000</f>
        <v>1000</v>
      </c>
      <c r="S274" s="168">
        <f>SUM(E279:P279)/12</f>
        <v>445.83333333333331</v>
      </c>
    </row>
    <row r="275" spans="1:19">
      <c r="A275" s="169" t="s">
        <v>82</v>
      </c>
      <c r="B275" s="169"/>
      <c r="R275" s="168"/>
      <c r="S275" s="168"/>
    </row>
    <row r="276" spans="1:19">
      <c r="A276" s="119" t="s">
        <v>78</v>
      </c>
      <c r="E276" s="119">
        <v>0</v>
      </c>
      <c r="F276" s="170">
        <f t="shared" ref="F276" si="259">E278</f>
        <v>40</v>
      </c>
      <c r="G276" s="170">
        <f t="shared" ref="G276" si="260">F278</f>
        <v>80</v>
      </c>
      <c r="H276" s="170">
        <f t="shared" ref="H276" si="261">G278</f>
        <v>140</v>
      </c>
      <c r="I276" s="170">
        <f t="shared" ref="I276" si="262">H278</f>
        <v>210</v>
      </c>
      <c r="J276" s="170">
        <f t="shared" ref="J276:K276" si="263">I278</f>
        <v>290</v>
      </c>
      <c r="K276" s="170">
        <f t="shared" si="263"/>
        <v>410</v>
      </c>
      <c r="L276" s="170">
        <f t="shared" ref="L276" si="264">K278</f>
        <v>530</v>
      </c>
      <c r="M276" s="170">
        <f t="shared" ref="M276" si="265">L278</f>
        <v>640</v>
      </c>
      <c r="N276" s="170">
        <f t="shared" ref="N276" si="266">M278</f>
        <v>750</v>
      </c>
      <c r="O276" s="170">
        <f t="shared" ref="O276" si="267">N278</f>
        <v>840</v>
      </c>
      <c r="P276" s="170">
        <f t="shared" ref="P276" si="268">O278</f>
        <v>920</v>
      </c>
      <c r="Q276" s="170"/>
      <c r="R276" s="168"/>
      <c r="S276" s="168"/>
    </row>
    <row r="277" spans="1:19">
      <c r="A277" s="119" t="s">
        <v>79</v>
      </c>
      <c r="E277" s="170">
        <f>E274/1000</f>
        <v>40</v>
      </c>
      <c r="F277" s="170">
        <f t="shared" ref="F277:P277" si="269">F274/1000</f>
        <v>40</v>
      </c>
      <c r="G277" s="170">
        <f t="shared" si="269"/>
        <v>60</v>
      </c>
      <c r="H277" s="170">
        <f t="shared" si="269"/>
        <v>70</v>
      </c>
      <c r="I277" s="170">
        <f t="shared" si="269"/>
        <v>80</v>
      </c>
      <c r="J277" s="170">
        <f t="shared" si="269"/>
        <v>120</v>
      </c>
      <c r="K277" s="170">
        <f t="shared" si="269"/>
        <v>120</v>
      </c>
      <c r="L277" s="170">
        <f t="shared" si="269"/>
        <v>110</v>
      </c>
      <c r="M277" s="170">
        <f t="shared" si="269"/>
        <v>110</v>
      </c>
      <c r="N277" s="170">
        <f t="shared" si="269"/>
        <v>90</v>
      </c>
      <c r="O277" s="170">
        <f t="shared" si="269"/>
        <v>80</v>
      </c>
      <c r="P277" s="170">
        <f t="shared" si="269"/>
        <v>80</v>
      </c>
      <c r="Q277" s="170"/>
      <c r="R277" s="168"/>
      <c r="S277" s="168"/>
    </row>
    <row r="278" spans="1:19">
      <c r="A278" s="119" t="s">
        <v>80</v>
      </c>
      <c r="E278" s="170">
        <f t="shared" ref="E278:P278" si="270">E276+E277</f>
        <v>40</v>
      </c>
      <c r="F278" s="170">
        <f t="shared" si="270"/>
        <v>80</v>
      </c>
      <c r="G278" s="170">
        <f t="shared" si="270"/>
        <v>140</v>
      </c>
      <c r="H278" s="170">
        <f t="shared" si="270"/>
        <v>210</v>
      </c>
      <c r="I278" s="170">
        <f t="shared" si="270"/>
        <v>290</v>
      </c>
      <c r="J278" s="170">
        <f t="shared" si="270"/>
        <v>410</v>
      </c>
      <c r="K278" s="170">
        <f t="shared" si="270"/>
        <v>530</v>
      </c>
      <c r="L278" s="170">
        <f t="shared" si="270"/>
        <v>640</v>
      </c>
      <c r="M278" s="170">
        <f t="shared" si="270"/>
        <v>750</v>
      </c>
      <c r="N278" s="170">
        <f t="shared" si="270"/>
        <v>840</v>
      </c>
      <c r="O278" s="170">
        <f t="shared" si="270"/>
        <v>920</v>
      </c>
      <c r="P278" s="170">
        <f t="shared" si="270"/>
        <v>1000</v>
      </c>
      <c r="Q278" s="170"/>
      <c r="R278" s="168"/>
      <c r="S278" s="168"/>
    </row>
    <row r="279" spans="1:19">
      <c r="A279" s="119" t="s">
        <v>81</v>
      </c>
      <c r="E279" s="170">
        <f t="shared" ref="E279:L279" si="271">(E276+E278)/2</f>
        <v>20</v>
      </c>
      <c r="F279" s="170">
        <f t="shared" si="271"/>
        <v>60</v>
      </c>
      <c r="G279" s="170">
        <f t="shared" si="271"/>
        <v>110</v>
      </c>
      <c r="H279" s="170">
        <f t="shared" si="271"/>
        <v>175</v>
      </c>
      <c r="I279" s="170">
        <f t="shared" si="271"/>
        <v>250</v>
      </c>
      <c r="J279" s="170">
        <f t="shared" si="271"/>
        <v>350</v>
      </c>
      <c r="K279" s="170">
        <f t="shared" si="271"/>
        <v>470</v>
      </c>
      <c r="L279" s="170">
        <f t="shared" si="271"/>
        <v>585</v>
      </c>
      <c r="M279" s="170">
        <f>(M276+M278)/2</f>
        <v>695</v>
      </c>
      <c r="N279" s="170">
        <f t="shared" ref="N279:P279" si="272">(N276+N278)/2</f>
        <v>795</v>
      </c>
      <c r="O279" s="170">
        <f t="shared" si="272"/>
        <v>880</v>
      </c>
      <c r="P279" s="170">
        <f t="shared" si="272"/>
        <v>960</v>
      </c>
      <c r="Q279" s="170"/>
      <c r="R279" s="168"/>
      <c r="S279" s="168"/>
    </row>
    <row r="280" spans="1:19">
      <c r="E280" s="170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68"/>
      <c r="S280" s="168"/>
    </row>
    <row r="281" spans="1:19"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68"/>
      <c r="S281" s="168"/>
    </row>
    <row r="282" spans="1:19" ht="30">
      <c r="A282" s="177" t="s">
        <v>156</v>
      </c>
      <c r="B282" s="166">
        <v>3002</v>
      </c>
      <c r="D282" s="119">
        <f>$C$5</f>
        <v>1</v>
      </c>
      <c r="E282" s="172">
        <f>ROUND(CAP15.3!I104,0)*$D$282</f>
        <v>44590</v>
      </c>
      <c r="F282" s="172">
        <f>ROUND(CAP15.3!J104,0)*$D$282</f>
        <v>39372</v>
      </c>
      <c r="G282" s="172">
        <f>ROUND(CAP15.3!K104,0)*$D$282</f>
        <v>50918</v>
      </c>
      <c r="H282" s="172">
        <f>ROUND(CAP15.3!L104,0)*$D$282</f>
        <v>57708</v>
      </c>
      <c r="I282" s="172">
        <f>ROUND(CAP15.3!M104,0)*$D$282</f>
        <v>64410</v>
      </c>
      <c r="J282" s="172">
        <f>ROUND(CAP15.3!N104,0)*$D$282</f>
        <v>88109</v>
      </c>
      <c r="K282" s="172">
        <f>ROUND(CAP15.3!O104,0)*$D$282</f>
        <v>94149</v>
      </c>
      <c r="L282" s="172">
        <f>ROUND(CAP15.3!P104,0)*$D$282</f>
        <v>81358</v>
      </c>
      <c r="M282" s="172">
        <f>ROUND(CAP15.3!Q104,0)*$D$282</f>
        <v>81731</v>
      </c>
      <c r="N282" s="172">
        <f>ROUND(CAP15.3!R104,0)*$D$282</f>
        <v>70423</v>
      </c>
      <c r="O282" s="172">
        <f>ROUND(CAP15.3!S104,0)*$D$282</f>
        <v>64404</v>
      </c>
      <c r="P282" s="172">
        <f>ROUND(CAP15.3!T104,0)*$D$282</f>
        <v>62829</v>
      </c>
      <c r="Q282" s="178"/>
      <c r="R282" s="168">
        <f>SUM(E282:P282)/1000</f>
        <v>800.00099999999998</v>
      </c>
      <c r="S282" s="168">
        <f>SUM(E287:P287)/12</f>
        <v>369.19004166666673</v>
      </c>
    </row>
    <row r="283" spans="1:19">
      <c r="A283" s="169" t="s">
        <v>82</v>
      </c>
      <c r="B283" s="169"/>
      <c r="R283" s="168"/>
      <c r="S283" s="168"/>
    </row>
    <row r="284" spans="1:19">
      <c r="A284" s="119" t="s">
        <v>78</v>
      </c>
      <c r="E284" s="119">
        <v>0</v>
      </c>
      <c r="F284" s="170">
        <f t="shared" ref="F284" si="273">E286</f>
        <v>44.59</v>
      </c>
      <c r="G284" s="170">
        <f t="shared" ref="G284" si="274">F286</f>
        <v>83.962000000000003</v>
      </c>
      <c r="H284" s="170">
        <f t="shared" ref="H284" si="275">G286</f>
        <v>134.88</v>
      </c>
      <c r="I284" s="170">
        <f t="shared" ref="I284" si="276">H286</f>
        <v>192.58799999999999</v>
      </c>
      <c r="J284" s="170">
        <f t="shared" ref="J284:K284" si="277">I286</f>
        <v>256.99799999999999</v>
      </c>
      <c r="K284" s="170">
        <f t="shared" si="277"/>
        <v>345.10699999999997</v>
      </c>
      <c r="L284" s="170">
        <f t="shared" ref="L284" si="278">K286</f>
        <v>439.25599999999997</v>
      </c>
      <c r="M284" s="170">
        <f t="shared" ref="M284" si="279">L286</f>
        <v>520.61400000000003</v>
      </c>
      <c r="N284" s="170">
        <f t="shared" ref="N284" si="280">M286</f>
        <v>602.34500000000003</v>
      </c>
      <c r="O284" s="170">
        <f t="shared" ref="O284" si="281">N286</f>
        <v>672.76800000000003</v>
      </c>
      <c r="P284" s="170">
        <f t="shared" ref="P284" si="282">O286</f>
        <v>737.17200000000003</v>
      </c>
      <c r="Q284" s="170"/>
      <c r="R284" s="168"/>
      <c r="S284" s="168"/>
    </row>
    <row r="285" spans="1:19">
      <c r="A285" s="119" t="s">
        <v>79</v>
      </c>
      <c r="E285" s="170">
        <f>E282/1000</f>
        <v>44.59</v>
      </c>
      <c r="F285" s="170">
        <f t="shared" ref="F285:P285" si="283">F282/1000</f>
        <v>39.372</v>
      </c>
      <c r="G285" s="170">
        <f t="shared" si="283"/>
        <v>50.917999999999999</v>
      </c>
      <c r="H285" s="170">
        <f t="shared" si="283"/>
        <v>57.707999999999998</v>
      </c>
      <c r="I285" s="170">
        <f t="shared" si="283"/>
        <v>64.41</v>
      </c>
      <c r="J285" s="170">
        <f t="shared" si="283"/>
        <v>88.108999999999995</v>
      </c>
      <c r="K285" s="170">
        <f t="shared" si="283"/>
        <v>94.149000000000001</v>
      </c>
      <c r="L285" s="170">
        <f t="shared" si="283"/>
        <v>81.358000000000004</v>
      </c>
      <c r="M285" s="170">
        <f t="shared" si="283"/>
        <v>81.730999999999995</v>
      </c>
      <c r="N285" s="170">
        <f t="shared" si="283"/>
        <v>70.423000000000002</v>
      </c>
      <c r="O285" s="170">
        <f t="shared" si="283"/>
        <v>64.403999999999996</v>
      </c>
      <c r="P285" s="170">
        <f t="shared" si="283"/>
        <v>62.829000000000001</v>
      </c>
      <c r="Q285" s="170"/>
      <c r="R285" s="168"/>
      <c r="S285" s="168"/>
    </row>
    <row r="286" spans="1:19">
      <c r="A286" s="119" t="s">
        <v>80</v>
      </c>
      <c r="E286" s="170">
        <f t="shared" ref="E286:P286" si="284">E284+E285</f>
        <v>44.59</v>
      </c>
      <c r="F286" s="170">
        <f t="shared" si="284"/>
        <v>83.962000000000003</v>
      </c>
      <c r="G286" s="170">
        <f t="shared" si="284"/>
        <v>134.88</v>
      </c>
      <c r="H286" s="170">
        <f t="shared" si="284"/>
        <v>192.58799999999999</v>
      </c>
      <c r="I286" s="170">
        <f t="shared" si="284"/>
        <v>256.99799999999999</v>
      </c>
      <c r="J286" s="170">
        <f t="shared" si="284"/>
        <v>345.10699999999997</v>
      </c>
      <c r="K286" s="170">
        <f t="shared" si="284"/>
        <v>439.25599999999997</v>
      </c>
      <c r="L286" s="170">
        <f t="shared" si="284"/>
        <v>520.61400000000003</v>
      </c>
      <c r="M286" s="170">
        <f t="shared" si="284"/>
        <v>602.34500000000003</v>
      </c>
      <c r="N286" s="170">
        <f t="shared" si="284"/>
        <v>672.76800000000003</v>
      </c>
      <c r="O286" s="170">
        <f t="shared" si="284"/>
        <v>737.17200000000003</v>
      </c>
      <c r="P286" s="170">
        <f t="shared" si="284"/>
        <v>800.00099999999998</v>
      </c>
      <c r="Q286" s="170"/>
      <c r="R286" s="168"/>
      <c r="S286" s="168"/>
    </row>
    <row r="287" spans="1:19">
      <c r="A287" s="119" t="s">
        <v>81</v>
      </c>
      <c r="E287" s="170">
        <f t="shared" ref="E287:L287" si="285">(E284+E286)/2</f>
        <v>22.295000000000002</v>
      </c>
      <c r="F287" s="170">
        <f t="shared" si="285"/>
        <v>64.27600000000001</v>
      </c>
      <c r="G287" s="170">
        <f t="shared" si="285"/>
        <v>109.42099999999999</v>
      </c>
      <c r="H287" s="170">
        <f t="shared" si="285"/>
        <v>163.73399999999998</v>
      </c>
      <c r="I287" s="170">
        <f t="shared" si="285"/>
        <v>224.79300000000001</v>
      </c>
      <c r="J287" s="170">
        <f t="shared" si="285"/>
        <v>301.05250000000001</v>
      </c>
      <c r="K287" s="170">
        <f t="shared" si="285"/>
        <v>392.18149999999997</v>
      </c>
      <c r="L287" s="170">
        <f t="shared" si="285"/>
        <v>479.935</v>
      </c>
      <c r="M287" s="170">
        <f>(M284+M286)/2</f>
        <v>561.47950000000003</v>
      </c>
      <c r="N287" s="170">
        <f t="shared" ref="N287:P287" si="286">(N284+N286)/2</f>
        <v>637.55650000000003</v>
      </c>
      <c r="O287" s="170">
        <f t="shared" si="286"/>
        <v>704.97</v>
      </c>
      <c r="P287" s="170">
        <f t="shared" si="286"/>
        <v>768.5865</v>
      </c>
      <c r="Q287" s="170"/>
      <c r="R287" s="168"/>
      <c r="S287" s="168"/>
    </row>
    <row r="288" spans="1:19">
      <c r="E288" s="170"/>
      <c r="F288" s="170"/>
      <c r="G288" s="170"/>
      <c r="H288" s="170"/>
      <c r="I288" s="170"/>
      <c r="J288" s="170"/>
      <c r="K288" s="170"/>
      <c r="L288" s="170"/>
      <c r="M288" s="170"/>
      <c r="N288" s="170"/>
      <c r="O288" s="170"/>
      <c r="P288" s="170"/>
      <c r="Q288" s="170"/>
      <c r="R288" s="168"/>
      <c r="S288" s="168"/>
    </row>
    <row r="289" spans="1:19">
      <c r="E289" s="170"/>
      <c r="F289" s="170"/>
      <c r="G289" s="170"/>
      <c r="H289" s="170"/>
      <c r="I289" s="170"/>
      <c r="J289" s="170"/>
      <c r="K289" s="170"/>
      <c r="L289" s="170"/>
      <c r="M289" s="170"/>
      <c r="N289" s="170"/>
      <c r="O289" s="170"/>
      <c r="P289" s="170"/>
      <c r="Q289" s="170"/>
      <c r="R289" s="168"/>
      <c r="S289" s="168"/>
    </row>
    <row r="290" spans="1:19" ht="30">
      <c r="A290" s="177" t="s">
        <v>157</v>
      </c>
      <c r="B290" s="166">
        <v>3003</v>
      </c>
      <c r="D290" s="119">
        <f>$C$5</f>
        <v>1</v>
      </c>
      <c r="E290" s="172">
        <f>ROUND(CAP15.3!I105,0)*$D$290</f>
        <v>265849</v>
      </c>
      <c r="F290" s="172">
        <f>ROUND(CAP15.3!J105,0)*$D$290</f>
        <v>243874</v>
      </c>
      <c r="G290" s="172">
        <f>ROUND(CAP15.3!K105,0)*$D$290</f>
        <v>282733</v>
      </c>
      <c r="H290" s="172">
        <f>ROUND(CAP15.3!L105,0)*$D$290</f>
        <v>322376</v>
      </c>
      <c r="I290" s="172">
        <f>ROUND(CAP15.3!M105,0)*$D$290</f>
        <v>394530</v>
      </c>
      <c r="J290" s="172">
        <f>ROUND(CAP15.3!N105,0)*$D$290</f>
        <v>408100</v>
      </c>
      <c r="K290" s="172">
        <f>ROUND(CAP15.3!O105,0)*$D$290</f>
        <v>400668</v>
      </c>
      <c r="L290" s="172">
        <f>ROUND(CAP15.3!P105,0)*$D$290</f>
        <v>434090</v>
      </c>
      <c r="M290" s="172">
        <f>ROUND(CAP15.3!Q105,0)*$D$290</f>
        <v>435659</v>
      </c>
      <c r="N290" s="172">
        <f>ROUND(CAP15.3!R105,0)*$D$290</f>
        <v>431153</v>
      </c>
      <c r="O290" s="172">
        <f>ROUND(CAP15.3!S105,0)*$D$290</f>
        <v>328782</v>
      </c>
      <c r="P290" s="172">
        <f>ROUND(CAP15.3!T105,0)*$D$290</f>
        <v>552186</v>
      </c>
      <c r="Q290" s="178"/>
      <c r="R290" s="168">
        <f>SUM(E290:P290)/1000</f>
        <v>4500</v>
      </c>
      <c r="S290" s="168">
        <f>SUM(E295:P295)/12</f>
        <v>2015.3965833333332</v>
      </c>
    </row>
    <row r="291" spans="1:19">
      <c r="A291" s="169" t="s">
        <v>82</v>
      </c>
      <c r="B291" s="169"/>
      <c r="R291" s="168"/>
      <c r="S291" s="168"/>
    </row>
    <row r="292" spans="1:19">
      <c r="A292" s="119" t="s">
        <v>78</v>
      </c>
      <c r="E292" s="119">
        <v>0</v>
      </c>
      <c r="F292" s="170">
        <f t="shared" ref="F292" si="287">E294</f>
        <v>265.84899999999999</v>
      </c>
      <c r="G292" s="170">
        <f t="shared" ref="G292" si="288">F294</f>
        <v>509.72299999999996</v>
      </c>
      <c r="H292" s="170">
        <f t="shared" ref="H292" si="289">G294</f>
        <v>792.4559999999999</v>
      </c>
      <c r="I292" s="170">
        <f t="shared" ref="I292" si="290">H294</f>
        <v>1114.8319999999999</v>
      </c>
      <c r="J292" s="170">
        <f t="shared" ref="J292:K292" si="291">I294</f>
        <v>1509.3619999999999</v>
      </c>
      <c r="K292" s="170">
        <f t="shared" si="291"/>
        <v>1917.462</v>
      </c>
      <c r="L292" s="170">
        <f t="shared" ref="L292" si="292">K294</f>
        <v>2318.13</v>
      </c>
      <c r="M292" s="170">
        <f t="shared" ref="M292" si="293">L294</f>
        <v>2752.2200000000003</v>
      </c>
      <c r="N292" s="170">
        <f t="shared" ref="N292" si="294">M294</f>
        <v>3187.8790000000004</v>
      </c>
      <c r="O292" s="170">
        <f t="shared" ref="O292" si="295">N294</f>
        <v>3619.0320000000002</v>
      </c>
      <c r="P292" s="170">
        <f t="shared" ref="P292" si="296">O294</f>
        <v>3947.8140000000003</v>
      </c>
      <c r="Q292" s="170"/>
      <c r="R292" s="168"/>
      <c r="S292" s="168"/>
    </row>
    <row r="293" spans="1:19">
      <c r="A293" s="119" t="s">
        <v>79</v>
      </c>
      <c r="E293" s="170">
        <f>E290/1000</f>
        <v>265.84899999999999</v>
      </c>
      <c r="F293" s="170">
        <f t="shared" ref="F293:P293" si="297">F290/1000</f>
        <v>243.874</v>
      </c>
      <c r="G293" s="170">
        <f t="shared" si="297"/>
        <v>282.733</v>
      </c>
      <c r="H293" s="170">
        <f t="shared" si="297"/>
        <v>322.37599999999998</v>
      </c>
      <c r="I293" s="170">
        <f t="shared" si="297"/>
        <v>394.53</v>
      </c>
      <c r="J293" s="170">
        <f t="shared" si="297"/>
        <v>408.1</v>
      </c>
      <c r="K293" s="170">
        <f t="shared" si="297"/>
        <v>400.66800000000001</v>
      </c>
      <c r="L293" s="170">
        <f t="shared" si="297"/>
        <v>434.09</v>
      </c>
      <c r="M293" s="170">
        <f t="shared" si="297"/>
        <v>435.65899999999999</v>
      </c>
      <c r="N293" s="170">
        <f t="shared" si="297"/>
        <v>431.15300000000002</v>
      </c>
      <c r="O293" s="170">
        <f t="shared" si="297"/>
        <v>328.78199999999998</v>
      </c>
      <c r="P293" s="170">
        <f t="shared" si="297"/>
        <v>552.18600000000004</v>
      </c>
      <c r="Q293" s="170"/>
      <c r="R293" s="168"/>
      <c r="S293" s="168"/>
    </row>
    <row r="294" spans="1:19">
      <c r="A294" s="119" t="s">
        <v>80</v>
      </c>
      <c r="E294" s="170">
        <f t="shared" ref="E294:P294" si="298">E292+E293</f>
        <v>265.84899999999999</v>
      </c>
      <c r="F294" s="170">
        <f t="shared" si="298"/>
        <v>509.72299999999996</v>
      </c>
      <c r="G294" s="170">
        <f t="shared" si="298"/>
        <v>792.4559999999999</v>
      </c>
      <c r="H294" s="170">
        <f t="shared" si="298"/>
        <v>1114.8319999999999</v>
      </c>
      <c r="I294" s="170">
        <f t="shared" si="298"/>
        <v>1509.3619999999999</v>
      </c>
      <c r="J294" s="170">
        <f t="shared" si="298"/>
        <v>1917.462</v>
      </c>
      <c r="K294" s="170">
        <f t="shared" si="298"/>
        <v>2318.13</v>
      </c>
      <c r="L294" s="170">
        <f t="shared" si="298"/>
        <v>2752.2200000000003</v>
      </c>
      <c r="M294" s="170">
        <f t="shared" si="298"/>
        <v>3187.8790000000004</v>
      </c>
      <c r="N294" s="170">
        <f t="shared" si="298"/>
        <v>3619.0320000000002</v>
      </c>
      <c r="O294" s="170">
        <f t="shared" si="298"/>
        <v>3947.8140000000003</v>
      </c>
      <c r="P294" s="170">
        <f t="shared" si="298"/>
        <v>4500</v>
      </c>
      <c r="Q294" s="170"/>
      <c r="R294" s="168"/>
      <c r="S294" s="168"/>
    </row>
    <row r="295" spans="1:19">
      <c r="A295" s="119" t="s">
        <v>81</v>
      </c>
      <c r="E295" s="170">
        <f t="shared" ref="E295:L295" si="299">(E292+E294)/2</f>
        <v>132.92449999999999</v>
      </c>
      <c r="F295" s="170">
        <f t="shared" si="299"/>
        <v>387.78599999999994</v>
      </c>
      <c r="G295" s="170">
        <f t="shared" si="299"/>
        <v>651.08949999999993</v>
      </c>
      <c r="H295" s="170">
        <f t="shared" si="299"/>
        <v>953.64399999999989</v>
      </c>
      <c r="I295" s="170">
        <f t="shared" si="299"/>
        <v>1312.0969999999998</v>
      </c>
      <c r="J295" s="170">
        <f t="shared" si="299"/>
        <v>1713.4119999999998</v>
      </c>
      <c r="K295" s="170">
        <f t="shared" si="299"/>
        <v>2117.7960000000003</v>
      </c>
      <c r="L295" s="170">
        <f t="shared" si="299"/>
        <v>2535.1750000000002</v>
      </c>
      <c r="M295" s="170">
        <f>(M292+M294)/2</f>
        <v>2970.0495000000001</v>
      </c>
      <c r="N295" s="170">
        <f t="shared" ref="N295:P295" si="300">(N292+N294)/2</f>
        <v>3403.4555</v>
      </c>
      <c r="O295" s="170">
        <f t="shared" si="300"/>
        <v>3783.4230000000002</v>
      </c>
      <c r="P295" s="170">
        <f t="shared" si="300"/>
        <v>4223.9070000000002</v>
      </c>
      <c r="Q295" s="170"/>
      <c r="R295" s="168"/>
      <c r="S295" s="168"/>
    </row>
    <row r="296" spans="1:19">
      <c r="E296" s="170"/>
      <c r="F296" s="170"/>
      <c r="G296" s="170"/>
      <c r="H296" s="170"/>
      <c r="I296" s="170"/>
      <c r="J296" s="170"/>
      <c r="K296" s="170"/>
      <c r="L296" s="170"/>
      <c r="M296" s="170"/>
      <c r="N296" s="170"/>
      <c r="O296" s="170"/>
      <c r="P296" s="170"/>
      <c r="Q296" s="170"/>
      <c r="R296" s="168"/>
      <c r="S296" s="168"/>
    </row>
    <row r="297" spans="1:19">
      <c r="E297" s="170"/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68"/>
      <c r="S297" s="168"/>
    </row>
    <row r="298" spans="1:19" ht="30">
      <c r="A298" s="177" t="s">
        <v>158</v>
      </c>
      <c r="B298" s="166">
        <v>3004</v>
      </c>
      <c r="D298" s="119">
        <f>$C$5</f>
        <v>1</v>
      </c>
      <c r="E298" s="172">
        <f>ROUND(CAP15.3!I106,0)*$D$298</f>
        <v>43895</v>
      </c>
      <c r="F298" s="172">
        <f>ROUND(CAP15.3!J106,0)*$D$298</f>
        <v>42902</v>
      </c>
      <c r="G298" s="172">
        <f>ROUND(CAP15.3!K106,0)*$D$298</f>
        <v>57555</v>
      </c>
      <c r="H298" s="172">
        <f>ROUND(CAP15.3!L106,0)*$D$298</f>
        <v>66825</v>
      </c>
      <c r="I298" s="172">
        <f>ROUND(CAP15.3!M106,0)*$D$298</f>
        <v>79578</v>
      </c>
      <c r="J298" s="172">
        <f>ROUND(CAP15.3!N106,0)*$D$298</f>
        <v>102000</v>
      </c>
      <c r="K298" s="172">
        <f>ROUND(CAP15.3!O106,0)*$D$298</f>
        <v>99649</v>
      </c>
      <c r="L298" s="172">
        <f>ROUND(CAP15.3!P106,0)*$D$298</f>
        <v>99737</v>
      </c>
      <c r="M298" s="172">
        <f>ROUND(CAP15.3!Q106,0)*$D$298</f>
        <v>99808</v>
      </c>
      <c r="N298" s="172">
        <f>ROUND(CAP15.3!R106,0)*$D$298</f>
        <v>88700</v>
      </c>
      <c r="O298" s="172">
        <f>ROUND(CAP15.3!S106,0)*$D$298</f>
        <v>72577</v>
      </c>
      <c r="P298" s="172">
        <f>ROUND(CAP15.3!T106,0)*$D$298</f>
        <v>96777</v>
      </c>
      <c r="Q298" s="178"/>
      <c r="R298" s="168">
        <f>SUM(E298:P298)/1000</f>
        <v>950.00300000000004</v>
      </c>
      <c r="S298" s="168">
        <f>SUM(E303:P303)/12</f>
        <v>421.25845833333329</v>
      </c>
    </row>
    <row r="299" spans="1:19">
      <c r="A299" s="169" t="s">
        <v>82</v>
      </c>
      <c r="B299" s="169"/>
      <c r="R299" s="168"/>
      <c r="S299" s="168"/>
    </row>
    <row r="300" spans="1:19">
      <c r="A300" s="119" t="s">
        <v>78</v>
      </c>
      <c r="E300" s="119">
        <v>0</v>
      </c>
      <c r="F300" s="170">
        <f t="shared" ref="F300" si="301">E302</f>
        <v>43.895000000000003</v>
      </c>
      <c r="G300" s="170">
        <f t="shared" ref="G300" si="302">F302</f>
        <v>86.796999999999997</v>
      </c>
      <c r="H300" s="170">
        <f t="shared" ref="H300" si="303">G302</f>
        <v>144.352</v>
      </c>
      <c r="I300" s="170">
        <f t="shared" ref="I300" si="304">H302</f>
        <v>211.17700000000002</v>
      </c>
      <c r="J300" s="170">
        <f t="shared" ref="J300:K300" si="305">I302</f>
        <v>290.755</v>
      </c>
      <c r="K300" s="170">
        <f t="shared" si="305"/>
        <v>392.755</v>
      </c>
      <c r="L300" s="170">
        <f t="shared" ref="L300" si="306">K302</f>
        <v>492.404</v>
      </c>
      <c r="M300" s="170">
        <f t="shared" ref="M300" si="307">L302</f>
        <v>592.14099999999996</v>
      </c>
      <c r="N300" s="170">
        <f t="shared" ref="N300" si="308">M302</f>
        <v>691.94899999999996</v>
      </c>
      <c r="O300" s="170">
        <f t="shared" ref="O300" si="309">N302</f>
        <v>780.649</v>
      </c>
      <c r="P300" s="170">
        <f t="shared" ref="P300" si="310">O302</f>
        <v>853.226</v>
      </c>
      <c r="Q300" s="170"/>
      <c r="R300" s="168"/>
      <c r="S300" s="168"/>
    </row>
    <row r="301" spans="1:19">
      <c r="A301" s="119" t="s">
        <v>79</v>
      </c>
      <c r="E301" s="170">
        <f>E298/1000</f>
        <v>43.895000000000003</v>
      </c>
      <c r="F301" s="170">
        <f t="shared" ref="F301:P301" si="311">F298/1000</f>
        <v>42.902000000000001</v>
      </c>
      <c r="G301" s="170">
        <f t="shared" si="311"/>
        <v>57.555</v>
      </c>
      <c r="H301" s="170">
        <f t="shared" si="311"/>
        <v>66.825000000000003</v>
      </c>
      <c r="I301" s="170">
        <f t="shared" si="311"/>
        <v>79.578000000000003</v>
      </c>
      <c r="J301" s="170">
        <f t="shared" si="311"/>
        <v>102</v>
      </c>
      <c r="K301" s="170">
        <f t="shared" si="311"/>
        <v>99.649000000000001</v>
      </c>
      <c r="L301" s="170">
        <f t="shared" si="311"/>
        <v>99.736999999999995</v>
      </c>
      <c r="M301" s="170">
        <f t="shared" si="311"/>
        <v>99.808000000000007</v>
      </c>
      <c r="N301" s="170">
        <f t="shared" si="311"/>
        <v>88.7</v>
      </c>
      <c r="O301" s="170">
        <f t="shared" si="311"/>
        <v>72.576999999999998</v>
      </c>
      <c r="P301" s="170">
        <f t="shared" si="311"/>
        <v>96.777000000000001</v>
      </c>
      <c r="Q301" s="170"/>
      <c r="R301" s="168"/>
      <c r="S301" s="168"/>
    </row>
    <row r="302" spans="1:19">
      <c r="A302" s="119" t="s">
        <v>80</v>
      </c>
      <c r="E302" s="170">
        <f t="shared" ref="E302:P302" si="312">E300+E301</f>
        <v>43.895000000000003</v>
      </c>
      <c r="F302" s="170">
        <f t="shared" si="312"/>
        <v>86.796999999999997</v>
      </c>
      <c r="G302" s="170">
        <f t="shared" si="312"/>
        <v>144.352</v>
      </c>
      <c r="H302" s="170">
        <f t="shared" si="312"/>
        <v>211.17700000000002</v>
      </c>
      <c r="I302" s="170">
        <f t="shared" si="312"/>
        <v>290.755</v>
      </c>
      <c r="J302" s="170">
        <f t="shared" si="312"/>
        <v>392.755</v>
      </c>
      <c r="K302" s="170">
        <f t="shared" si="312"/>
        <v>492.404</v>
      </c>
      <c r="L302" s="170">
        <f t="shared" si="312"/>
        <v>592.14099999999996</v>
      </c>
      <c r="M302" s="170">
        <f t="shared" si="312"/>
        <v>691.94899999999996</v>
      </c>
      <c r="N302" s="170">
        <f t="shared" si="312"/>
        <v>780.649</v>
      </c>
      <c r="O302" s="170">
        <f t="shared" si="312"/>
        <v>853.226</v>
      </c>
      <c r="P302" s="170">
        <f t="shared" si="312"/>
        <v>950.00300000000004</v>
      </c>
      <c r="Q302" s="170"/>
      <c r="R302" s="168"/>
      <c r="S302" s="168"/>
    </row>
    <row r="303" spans="1:19">
      <c r="A303" s="119" t="s">
        <v>81</v>
      </c>
      <c r="E303" s="170">
        <f t="shared" ref="E303:L303" si="313">(E300+E302)/2</f>
        <v>21.947500000000002</v>
      </c>
      <c r="F303" s="170">
        <f t="shared" si="313"/>
        <v>65.346000000000004</v>
      </c>
      <c r="G303" s="170">
        <f t="shared" si="313"/>
        <v>115.5745</v>
      </c>
      <c r="H303" s="170">
        <f t="shared" si="313"/>
        <v>177.7645</v>
      </c>
      <c r="I303" s="170">
        <f t="shared" si="313"/>
        <v>250.96600000000001</v>
      </c>
      <c r="J303" s="170">
        <f t="shared" si="313"/>
        <v>341.755</v>
      </c>
      <c r="K303" s="170">
        <f t="shared" si="313"/>
        <v>442.5795</v>
      </c>
      <c r="L303" s="170">
        <f t="shared" si="313"/>
        <v>542.27250000000004</v>
      </c>
      <c r="M303" s="170">
        <f>(M300+M302)/2</f>
        <v>642.04499999999996</v>
      </c>
      <c r="N303" s="170">
        <f t="shared" ref="N303:P303" si="314">(N300+N302)/2</f>
        <v>736.29899999999998</v>
      </c>
      <c r="O303" s="170">
        <f t="shared" si="314"/>
        <v>816.9375</v>
      </c>
      <c r="P303" s="170">
        <f t="shared" si="314"/>
        <v>901.61450000000002</v>
      </c>
      <c r="Q303" s="170"/>
      <c r="R303" s="168"/>
      <c r="S303" s="168"/>
    </row>
    <row r="304" spans="1:19">
      <c r="E304" s="170"/>
      <c r="F304" s="170"/>
      <c r="G304" s="170"/>
      <c r="H304" s="170"/>
      <c r="I304" s="170"/>
      <c r="J304" s="170"/>
      <c r="K304" s="170"/>
      <c r="L304" s="170"/>
      <c r="M304" s="170"/>
      <c r="N304" s="170"/>
      <c r="O304" s="170"/>
      <c r="P304" s="170"/>
      <c r="Q304" s="170"/>
      <c r="R304" s="168"/>
      <c r="S304" s="168"/>
    </row>
    <row r="305" spans="1:19">
      <c r="E305" s="170"/>
      <c r="F305" s="170"/>
      <c r="G305" s="170"/>
      <c r="H305" s="170"/>
      <c r="I305" s="170"/>
      <c r="J305" s="170"/>
      <c r="K305" s="170"/>
      <c r="L305" s="170"/>
      <c r="M305" s="170"/>
      <c r="N305" s="170"/>
      <c r="O305" s="170"/>
      <c r="P305" s="170"/>
      <c r="Q305" s="170"/>
      <c r="R305" s="168"/>
      <c r="S305" s="168"/>
    </row>
    <row r="306" spans="1:19" ht="30">
      <c r="A306" s="177" t="s">
        <v>159</v>
      </c>
      <c r="B306" s="166">
        <v>3005</v>
      </c>
      <c r="D306" s="119">
        <f>$C$5</f>
        <v>1</v>
      </c>
      <c r="E306" s="172">
        <f>ROUND(CAP15.3!I107,0)*$D$306</f>
        <v>416888</v>
      </c>
      <c r="F306" s="172">
        <f>ROUND(CAP15.3!J107,0)*$D$306</f>
        <v>368764</v>
      </c>
      <c r="G306" s="172">
        <f>ROUND(CAP15.3!K107,0)*$D$306</f>
        <v>403274</v>
      </c>
      <c r="H306" s="172">
        <f>ROUND(CAP15.3!L107,0)*$D$306</f>
        <v>445095</v>
      </c>
      <c r="I306" s="172">
        <f>ROUND(CAP15.3!M107,0)*$D$306</f>
        <v>516579</v>
      </c>
      <c r="J306" s="172">
        <f>ROUND(CAP15.3!N107,0)*$D$306</f>
        <v>530161</v>
      </c>
      <c r="K306" s="172">
        <f>ROUND(CAP15.3!O107,0)*$D$306</f>
        <v>555390</v>
      </c>
      <c r="L306" s="172">
        <f>ROUND(CAP15.3!P107,0)*$D$306</f>
        <v>549621</v>
      </c>
      <c r="M306" s="172">
        <f>ROUND(CAP15.3!Q107,0)*$D$306</f>
        <v>553055</v>
      </c>
      <c r="N306" s="172">
        <f>ROUND(CAP15.3!R107,0)*$D$306</f>
        <v>551254</v>
      </c>
      <c r="O306" s="172">
        <f>ROUND(CAP15.3!S107,0)*$D$306</f>
        <v>455586</v>
      </c>
      <c r="P306" s="172">
        <f>ROUND(CAP15.3!T107,0)*$D$306</f>
        <v>654332</v>
      </c>
      <c r="Q306" s="178"/>
      <c r="R306" s="168">
        <f>SUM(E306:P306)/1000</f>
        <v>5999.9989999999998</v>
      </c>
      <c r="S306" s="168">
        <f>SUM(E311:P311)/12</f>
        <v>2787.7787916666671</v>
      </c>
    </row>
    <row r="307" spans="1:19">
      <c r="A307" s="169" t="s">
        <v>82</v>
      </c>
      <c r="B307" s="169"/>
      <c r="R307" s="168"/>
      <c r="S307" s="168"/>
    </row>
    <row r="308" spans="1:19">
      <c r="A308" s="119" t="s">
        <v>78</v>
      </c>
      <c r="E308" s="119">
        <v>0</v>
      </c>
      <c r="F308" s="170">
        <f t="shared" ref="F308" si="315">E310</f>
        <v>416.88799999999998</v>
      </c>
      <c r="G308" s="170">
        <f t="shared" ref="G308" si="316">F310</f>
        <v>785.65200000000004</v>
      </c>
      <c r="H308" s="170">
        <f t="shared" ref="H308" si="317">G310</f>
        <v>1188.9259999999999</v>
      </c>
      <c r="I308" s="170">
        <f t="shared" ref="I308" si="318">H310</f>
        <v>1634.021</v>
      </c>
      <c r="J308" s="170">
        <f t="shared" ref="J308:K308" si="319">I310</f>
        <v>2150.6</v>
      </c>
      <c r="K308" s="170">
        <f t="shared" si="319"/>
        <v>2680.761</v>
      </c>
      <c r="L308" s="170">
        <f t="shared" ref="L308" si="320">K310</f>
        <v>3236.1509999999998</v>
      </c>
      <c r="M308" s="170">
        <f t="shared" ref="M308" si="321">L310</f>
        <v>3785.7719999999999</v>
      </c>
      <c r="N308" s="170">
        <f t="shared" ref="N308" si="322">M310</f>
        <v>4338.8270000000002</v>
      </c>
      <c r="O308" s="170">
        <f t="shared" ref="O308" si="323">N310</f>
        <v>4890.0810000000001</v>
      </c>
      <c r="P308" s="170">
        <f t="shared" ref="P308" si="324">O310</f>
        <v>5345.6670000000004</v>
      </c>
      <c r="Q308" s="170"/>
      <c r="R308" s="168"/>
      <c r="S308" s="168"/>
    </row>
    <row r="309" spans="1:19">
      <c r="A309" s="119" t="s">
        <v>79</v>
      </c>
      <c r="E309" s="170">
        <f>E306/1000</f>
        <v>416.88799999999998</v>
      </c>
      <c r="F309" s="170">
        <f t="shared" ref="F309:P309" si="325">F306/1000</f>
        <v>368.76400000000001</v>
      </c>
      <c r="G309" s="170">
        <f t="shared" si="325"/>
        <v>403.274</v>
      </c>
      <c r="H309" s="170">
        <f t="shared" si="325"/>
        <v>445.09500000000003</v>
      </c>
      <c r="I309" s="170">
        <f t="shared" si="325"/>
        <v>516.57899999999995</v>
      </c>
      <c r="J309" s="170">
        <f t="shared" si="325"/>
        <v>530.16099999999994</v>
      </c>
      <c r="K309" s="170">
        <f t="shared" si="325"/>
        <v>555.39</v>
      </c>
      <c r="L309" s="170">
        <f t="shared" si="325"/>
        <v>549.62099999999998</v>
      </c>
      <c r="M309" s="170">
        <f t="shared" si="325"/>
        <v>553.05499999999995</v>
      </c>
      <c r="N309" s="170">
        <f t="shared" si="325"/>
        <v>551.25400000000002</v>
      </c>
      <c r="O309" s="170">
        <f t="shared" si="325"/>
        <v>455.58600000000001</v>
      </c>
      <c r="P309" s="170">
        <f t="shared" si="325"/>
        <v>654.33199999999999</v>
      </c>
      <c r="Q309" s="170"/>
      <c r="R309" s="168"/>
      <c r="S309" s="168"/>
    </row>
    <row r="310" spans="1:19">
      <c r="A310" s="119" t="s">
        <v>80</v>
      </c>
      <c r="E310" s="170">
        <f t="shared" ref="E310:P310" si="326">E308+E309</f>
        <v>416.88799999999998</v>
      </c>
      <c r="F310" s="170">
        <f t="shared" si="326"/>
        <v>785.65200000000004</v>
      </c>
      <c r="G310" s="170">
        <f t="shared" si="326"/>
        <v>1188.9259999999999</v>
      </c>
      <c r="H310" s="170">
        <f t="shared" si="326"/>
        <v>1634.021</v>
      </c>
      <c r="I310" s="170">
        <f t="shared" si="326"/>
        <v>2150.6</v>
      </c>
      <c r="J310" s="170">
        <f t="shared" si="326"/>
        <v>2680.761</v>
      </c>
      <c r="K310" s="170">
        <f t="shared" si="326"/>
        <v>3236.1509999999998</v>
      </c>
      <c r="L310" s="170">
        <f t="shared" si="326"/>
        <v>3785.7719999999999</v>
      </c>
      <c r="M310" s="170">
        <f t="shared" si="326"/>
        <v>4338.8270000000002</v>
      </c>
      <c r="N310" s="170">
        <f t="shared" si="326"/>
        <v>4890.0810000000001</v>
      </c>
      <c r="O310" s="170">
        <f t="shared" si="326"/>
        <v>5345.6670000000004</v>
      </c>
      <c r="P310" s="170">
        <f t="shared" si="326"/>
        <v>5999.9990000000007</v>
      </c>
      <c r="Q310" s="170"/>
      <c r="R310" s="168"/>
      <c r="S310" s="168"/>
    </row>
    <row r="311" spans="1:19">
      <c r="A311" s="119" t="s">
        <v>81</v>
      </c>
      <c r="E311" s="170">
        <f t="shared" ref="E311:L311" si="327">(E308+E310)/2</f>
        <v>208.44399999999999</v>
      </c>
      <c r="F311" s="170">
        <f t="shared" si="327"/>
        <v>601.27</v>
      </c>
      <c r="G311" s="170">
        <f t="shared" si="327"/>
        <v>987.28899999999999</v>
      </c>
      <c r="H311" s="170">
        <f t="shared" si="327"/>
        <v>1411.4735000000001</v>
      </c>
      <c r="I311" s="170">
        <f t="shared" si="327"/>
        <v>1892.3105</v>
      </c>
      <c r="J311" s="170">
        <f t="shared" si="327"/>
        <v>2415.6804999999999</v>
      </c>
      <c r="K311" s="170">
        <f t="shared" si="327"/>
        <v>2958.4560000000001</v>
      </c>
      <c r="L311" s="170">
        <f t="shared" si="327"/>
        <v>3510.9614999999999</v>
      </c>
      <c r="M311" s="170">
        <f>(M308+M310)/2</f>
        <v>4062.2995000000001</v>
      </c>
      <c r="N311" s="170">
        <f t="shared" ref="N311:P311" si="328">(N308+N310)/2</f>
        <v>4614.4539999999997</v>
      </c>
      <c r="O311" s="170">
        <f t="shared" si="328"/>
        <v>5117.8739999999998</v>
      </c>
      <c r="P311" s="170">
        <f t="shared" si="328"/>
        <v>5672.8330000000005</v>
      </c>
      <c r="Q311" s="170"/>
      <c r="R311" s="168"/>
      <c r="S311" s="168"/>
    </row>
    <row r="312" spans="1:19">
      <c r="E312" s="170"/>
      <c r="F312" s="170"/>
      <c r="G312" s="170"/>
      <c r="H312" s="170"/>
      <c r="I312" s="170"/>
      <c r="J312" s="170"/>
      <c r="K312" s="170"/>
      <c r="L312" s="170"/>
      <c r="M312" s="170"/>
      <c r="N312" s="170"/>
      <c r="O312" s="170"/>
      <c r="P312" s="170"/>
      <c r="Q312" s="170"/>
      <c r="R312" s="168"/>
      <c r="S312" s="168"/>
    </row>
    <row r="313" spans="1:19">
      <c r="E313" s="170"/>
      <c r="F313" s="170"/>
      <c r="G313" s="170"/>
      <c r="H313" s="170"/>
      <c r="I313" s="170"/>
      <c r="J313" s="170"/>
      <c r="K313" s="170"/>
      <c r="L313" s="170"/>
      <c r="M313" s="170"/>
      <c r="N313" s="170"/>
      <c r="O313" s="170"/>
      <c r="P313" s="170"/>
      <c r="Q313" s="170"/>
      <c r="R313" s="168"/>
      <c r="S313" s="168"/>
    </row>
    <row r="314" spans="1:19" ht="30">
      <c r="A314" s="177" t="s">
        <v>160</v>
      </c>
      <c r="B314" s="166">
        <v>3006</v>
      </c>
      <c r="D314" s="119">
        <f>$C$5</f>
        <v>1</v>
      </c>
      <c r="E314" s="172">
        <f>ROUND(CAP15.3!I108,0)*$D$314</f>
        <v>83098</v>
      </c>
      <c r="F314" s="172">
        <f>ROUND(CAP15.3!J108,0)*$D$314</f>
        <v>73206</v>
      </c>
      <c r="G314" s="172">
        <f>ROUND(CAP15.3!K108,0)*$D$314</f>
        <v>71903</v>
      </c>
      <c r="H314" s="172">
        <f>ROUND(CAP15.3!L108,0)*$D$314</f>
        <v>73308</v>
      </c>
      <c r="I314" s="172">
        <f>ROUND(CAP15.3!M108,0)*$D$314</f>
        <v>74798</v>
      </c>
      <c r="J314" s="172">
        <f>ROUND(CAP15.3!N108,0)*$D$314</f>
        <v>72839</v>
      </c>
      <c r="K314" s="172">
        <f>ROUND(CAP15.3!O108,0)*$D$314</f>
        <v>84033</v>
      </c>
      <c r="L314" s="172">
        <f>ROUND(CAP15.3!P108,0)*$D$314</f>
        <v>72016</v>
      </c>
      <c r="M314" s="172">
        <f>ROUND(CAP15.3!Q108,0)*$D$314</f>
        <v>72723</v>
      </c>
      <c r="N314" s="172">
        <f>ROUND(CAP15.3!R108,0)*$D$314</f>
        <v>74727</v>
      </c>
      <c r="O314" s="172">
        <f>ROUND(CAP15.3!S108,0)*$D$314</f>
        <v>74281</v>
      </c>
      <c r="P314" s="172">
        <f>ROUND(CAP15.3!T108,0)*$D$314</f>
        <v>73068</v>
      </c>
      <c r="Q314" s="178"/>
      <c r="R314" s="168">
        <f>SUM(E314:P314)/1000</f>
        <v>900</v>
      </c>
      <c r="S314" s="168">
        <f>SUM(E319:P319)/12</f>
        <v>453.37349999999992</v>
      </c>
    </row>
    <row r="315" spans="1:19">
      <c r="A315" s="169" t="s">
        <v>82</v>
      </c>
      <c r="B315" s="169"/>
      <c r="R315" s="168"/>
      <c r="S315" s="168"/>
    </row>
    <row r="316" spans="1:19">
      <c r="A316" s="119" t="s">
        <v>78</v>
      </c>
      <c r="E316" s="119">
        <v>0</v>
      </c>
      <c r="F316" s="170">
        <f t="shared" ref="F316" si="329">E318</f>
        <v>83.097999999999999</v>
      </c>
      <c r="G316" s="170">
        <f t="shared" ref="G316" si="330">F318</f>
        <v>156.304</v>
      </c>
      <c r="H316" s="170">
        <f t="shared" ref="H316" si="331">G318</f>
        <v>228.20699999999999</v>
      </c>
      <c r="I316" s="170">
        <f t="shared" ref="I316" si="332">H318</f>
        <v>301.51499999999999</v>
      </c>
      <c r="J316" s="170">
        <f t="shared" ref="J316:K316" si="333">I318</f>
        <v>376.31299999999999</v>
      </c>
      <c r="K316" s="170">
        <f t="shared" si="333"/>
        <v>449.15199999999999</v>
      </c>
      <c r="L316" s="170">
        <f t="shared" ref="L316" si="334">K318</f>
        <v>533.18499999999995</v>
      </c>
      <c r="M316" s="170">
        <f t="shared" ref="M316" si="335">L318</f>
        <v>605.20099999999991</v>
      </c>
      <c r="N316" s="170">
        <f t="shared" ref="N316" si="336">M318</f>
        <v>677.92399999999986</v>
      </c>
      <c r="O316" s="170">
        <f t="shared" ref="O316" si="337">N318</f>
        <v>752.65099999999984</v>
      </c>
      <c r="P316" s="170">
        <f t="shared" ref="P316" si="338">O318</f>
        <v>826.93199999999979</v>
      </c>
      <c r="Q316" s="170"/>
      <c r="R316" s="168"/>
      <c r="S316" s="168"/>
    </row>
    <row r="317" spans="1:19">
      <c r="A317" s="119" t="s">
        <v>79</v>
      </c>
      <c r="E317" s="170">
        <f>E314/1000</f>
        <v>83.097999999999999</v>
      </c>
      <c r="F317" s="170">
        <f t="shared" ref="F317:P317" si="339">F314/1000</f>
        <v>73.206000000000003</v>
      </c>
      <c r="G317" s="170">
        <f t="shared" si="339"/>
        <v>71.903000000000006</v>
      </c>
      <c r="H317" s="170">
        <f t="shared" si="339"/>
        <v>73.308000000000007</v>
      </c>
      <c r="I317" s="170">
        <f t="shared" si="339"/>
        <v>74.798000000000002</v>
      </c>
      <c r="J317" s="170">
        <f t="shared" si="339"/>
        <v>72.838999999999999</v>
      </c>
      <c r="K317" s="170">
        <f t="shared" si="339"/>
        <v>84.033000000000001</v>
      </c>
      <c r="L317" s="170">
        <f t="shared" si="339"/>
        <v>72.016000000000005</v>
      </c>
      <c r="M317" s="170">
        <f t="shared" si="339"/>
        <v>72.722999999999999</v>
      </c>
      <c r="N317" s="170">
        <f t="shared" si="339"/>
        <v>74.727000000000004</v>
      </c>
      <c r="O317" s="170">
        <f t="shared" si="339"/>
        <v>74.281000000000006</v>
      </c>
      <c r="P317" s="170">
        <f t="shared" si="339"/>
        <v>73.067999999999998</v>
      </c>
      <c r="Q317" s="170"/>
      <c r="R317" s="168"/>
      <c r="S317" s="168"/>
    </row>
    <row r="318" spans="1:19">
      <c r="A318" s="119" t="s">
        <v>80</v>
      </c>
      <c r="E318" s="170">
        <f t="shared" ref="E318:P318" si="340">E316+E317</f>
        <v>83.097999999999999</v>
      </c>
      <c r="F318" s="170">
        <f t="shared" si="340"/>
        <v>156.304</v>
      </c>
      <c r="G318" s="170">
        <f t="shared" si="340"/>
        <v>228.20699999999999</v>
      </c>
      <c r="H318" s="170">
        <f t="shared" si="340"/>
        <v>301.51499999999999</v>
      </c>
      <c r="I318" s="170">
        <f t="shared" si="340"/>
        <v>376.31299999999999</v>
      </c>
      <c r="J318" s="170">
        <f t="shared" si="340"/>
        <v>449.15199999999999</v>
      </c>
      <c r="K318" s="170">
        <f t="shared" si="340"/>
        <v>533.18499999999995</v>
      </c>
      <c r="L318" s="170">
        <f t="shared" si="340"/>
        <v>605.20099999999991</v>
      </c>
      <c r="M318" s="170">
        <f t="shared" si="340"/>
        <v>677.92399999999986</v>
      </c>
      <c r="N318" s="170">
        <f t="shared" si="340"/>
        <v>752.65099999999984</v>
      </c>
      <c r="O318" s="170">
        <f t="shared" si="340"/>
        <v>826.93199999999979</v>
      </c>
      <c r="P318" s="170">
        <f t="shared" si="340"/>
        <v>899.99999999999977</v>
      </c>
      <c r="Q318" s="170"/>
      <c r="R318" s="168"/>
      <c r="S318" s="168"/>
    </row>
    <row r="319" spans="1:19">
      <c r="A319" s="119" t="s">
        <v>81</v>
      </c>
      <c r="E319" s="170">
        <f t="shared" ref="E319:L319" si="341">(E316+E318)/2</f>
        <v>41.548999999999999</v>
      </c>
      <c r="F319" s="170">
        <f t="shared" si="341"/>
        <v>119.70099999999999</v>
      </c>
      <c r="G319" s="170">
        <f t="shared" si="341"/>
        <v>192.25549999999998</v>
      </c>
      <c r="H319" s="170">
        <f t="shared" si="341"/>
        <v>264.86099999999999</v>
      </c>
      <c r="I319" s="170">
        <f t="shared" si="341"/>
        <v>338.91399999999999</v>
      </c>
      <c r="J319" s="170">
        <f t="shared" si="341"/>
        <v>412.73249999999996</v>
      </c>
      <c r="K319" s="170">
        <f t="shared" si="341"/>
        <v>491.16849999999999</v>
      </c>
      <c r="L319" s="170">
        <f t="shared" si="341"/>
        <v>569.19299999999998</v>
      </c>
      <c r="M319" s="170">
        <f>(M316+M318)/2</f>
        <v>641.56249999999989</v>
      </c>
      <c r="N319" s="170">
        <f t="shared" ref="N319:P319" si="342">(N316+N318)/2</f>
        <v>715.28749999999991</v>
      </c>
      <c r="O319" s="170">
        <f t="shared" si="342"/>
        <v>789.79149999999981</v>
      </c>
      <c r="P319" s="170">
        <f t="shared" si="342"/>
        <v>863.46599999999978</v>
      </c>
      <c r="Q319" s="170"/>
      <c r="R319" s="168"/>
      <c r="S319" s="168"/>
    </row>
    <row r="320" spans="1:19">
      <c r="E320" s="170"/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  <c r="P320" s="170"/>
      <c r="Q320" s="170"/>
      <c r="R320" s="168"/>
      <c r="S320" s="168"/>
    </row>
    <row r="321" spans="1:19">
      <c r="E321" s="170"/>
      <c r="F321" s="170"/>
      <c r="G321" s="170"/>
      <c r="H321" s="170"/>
      <c r="I321" s="170"/>
      <c r="J321" s="170"/>
      <c r="K321" s="170"/>
      <c r="L321" s="170"/>
      <c r="M321" s="170"/>
      <c r="N321" s="170"/>
      <c r="O321" s="170"/>
      <c r="P321" s="170"/>
      <c r="Q321" s="170"/>
      <c r="R321" s="168"/>
      <c r="S321" s="168"/>
    </row>
    <row r="322" spans="1:19" ht="30">
      <c r="A322" s="177" t="s">
        <v>221</v>
      </c>
      <c r="B322" s="166">
        <v>3007</v>
      </c>
      <c r="D322" s="119">
        <f>$C$5</f>
        <v>1</v>
      </c>
      <c r="E322" s="172">
        <f>ROUND(CAP15.3!I109,0)*$D$314</f>
        <v>245218</v>
      </c>
      <c r="F322" s="172">
        <f>ROUND(CAP15.3!J109,0)*$D$314</f>
        <v>209989</v>
      </c>
      <c r="G322" s="172">
        <f>ROUND(CAP15.3!K109,0)*$D$314</f>
        <v>226841</v>
      </c>
      <c r="H322" s="172">
        <f>ROUND(CAP15.3!L109,0)*$D$314</f>
        <v>253087</v>
      </c>
      <c r="I322" s="172">
        <f>ROUND(CAP15.3!M109,0)*$D$314</f>
        <v>300982</v>
      </c>
      <c r="J322" s="172">
        <f>ROUND(CAP15.3!N109,0)*$D$314</f>
        <v>294003</v>
      </c>
      <c r="K322" s="172">
        <f>ROUND(CAP15.3!O109,0)*$D$314</f>
        <v>312543</v>
      </c>
      <c r="L322" s="172">
        <f>ROUND(CAP15.3!P109,0)*$D$314</f>
        <v>312406</v>
      </c>
      <c r="M322" s="172">
        <f>ROUND(CAP15.3!Q109,0)*$D$314</f>
        <v>314922</v>
      </c>
      <c r="N322" s="172">
        <f>ROUND(CAP15.3!R109,0)*$D$314</f>
        <v>322061</v>
      </c>
      <c r="O322" s="172">
        <f>ROUND(CAP15.3!S109,0)*$D$314</f>
        <v>256480</v>
      </c>
      <c r="P322" s="172">
        <f>ROUND(CAP15.3!T109,0)*$D$314</f>
        <v>401468</v>
      </c>
      <c r="Q322" s="178"/>
      <c r="R322" s="168">
        <f>SUM(E322:P322)/1000</f>
        <v>3450</v>
      </c>
      <c r="S322" s="168">
        <f>SUM(E327:P327)/12</f>
        <v>1593.0959999999998</v>
      </c>
    </row>
    <row r="323" spans="1:19">
      <c r="A323" s="169" t="s">
        <v>82</v>
      </c>
      <c r="B323" s="169"/>
      <c r="R323" s="168"/>
      <c r="S323" s="168"/>
    </row>
    <row r="324" spans="1:19">
      <c r="A324" s="119" t="s">
        <v>78</v>
      </c>
      <c r="E324" s="119">
        <v>0</v>
      </c>
      <c r="F324" s="170">
        <f t="shared" ref="F324" si="343">E326</f>
        <v>245.21799999999999</v>
      </c>
      <c r="G324" s="170">
        <f t="shared" ref="G324" si="344">F326</f>
        <v>455.20699999999999</v>
      </c>
      <c r="H324" s="170">
        <f t="shared" ref="H324" si="345">G326</f>
        <v>682.048</v>
      </c>
      <c r="I324" s="170">
        <f t="shared" ref="I324" si="346">H326</f>
        <v>935.13499999999999</v>
      </c>
      <c r="J324" s="170">
        <f t="shared" ref="J324:K324" si="347">I326</f>
        <v>1236.117</v>
      </c>
      <c r="K324" s="170">
        <f t="shared" si="347"/>
        <v>1530.12</v>
      </c>
      <c r="L324" s="170">
        <f t="shared" ref="L324" si="348">K326</f>
        <v>1842.663</v>
      </c>
      <c r="M324" s="170">
        <f t="shared" ref="M324" si="349">L326</f>
        <v>2155.069</v>
      </c>
      <c r="N324" s="170">
        <f t="shared" ref="N324" si="350">M326</f>
        <v>2469.991</v>
      </c>
      <c r="O324" s="170">
        <f t="shared" ref="O324" si="351">N326</f>
        <v>2792.0520000000001</v>
      </c>
      <c r="P324" s="170">
        <f t="shared" ref="P324" si="352">O326</f>
        <v>3048.5320000000002</v>
      </c>
      <c r="Q324" s="170"/>
      <c r="R324" s="168"/>
      <c r="S324" s="168"/>
    </row>
    <row r="325" spans="1:19">
      <c r="A325" s="119" t="s">
        <v>79</v>
      </c>
      <c r="E325" s="170">
        <f>E322/1000</f>
        <v>245.21799999999999</v>
      </c>
      <c r="F325" s="170">
        <f t="shared" ref="F325:P325" si="353">F322/1000</f>
        <v>209.989</v>
      </c>
      <c r="G325" s="170">
        <f t="shared" si="353"/>
        <v>226.84100000000001</v>
      </c>
      <c r="H325" s="170">
        <f t="shared" si="353"/>
        <v>253.08699999999999</v>
      </c>
      <c r="I325" s="170">
        <f t="shared" si="353"/>
        <v>300.98200000000003</v>
      </c>
      <c r="J325" s="170">
        <f t="shared" si="353"/>
        <v>294.00299999999999</v>
      </c>
      <c r="K325" s="170">
        <f t="shared" si="353"/>
        <v>312.54300000000001</v>
      </c>
      <c r="L325" s="170">
        <f t="shared" si="353"/>
        <v>312.40600000000001</v>
      </c>
      <c r="M325" s="170">
        <f t="shared" si="353"/>
        <v>314.92200000000003</v>
      </c>
      <c r="N325" s="170">
        <f t="shared" si="353"/>
        <v>322.06099999999998</v>
      </c>
      <c r="O325" s="170">
        <f t="shared" si="353"/>
        <v>256.48</v>
      </c>
      <c r="P325" s="170">
        <f t="shared" si="353"/>
        <v>401.46800000000002</v>
      </c>
      <c r="Q325" s="170"/>
      <c r="R325" s="168"/>
      <c r="S325" s="168"/>
    </row>
    <row r="326" spans="1:19">
      <c r="A326" s="119" t="s">
        <v>80</v>
      </c>
      <c r="E326" s="170">
        <f t="shared" ref="E326:P326" si="354">E324+E325</f>
        <v>245.21799999999999</v>
      </c>
      <c r="F326" s="170">
        <f t="shared" si="354"/>
        <v>455.20699999999999</v>
      </c>
      <c r="G326" s="170">
        <f t="shared" si="354"/>
        <v>682.048</v>
      </c>
      <c r="H326" s="170">
        <f t="shared" si="354"/>
        <v>935.13499999999999</v>
      </c>
      <c r="I326" s="170">
        <f t="shared" si="354"/>
        <v>1236.117</v>
      </c>
      <c r="J326" s="170">
        <f t="shared" si="354"/>
        <v>1530.12</v>
      </c>
      <c r="K326" s="170">
        <f t="shared" si="354"/>
        <v>1842.663</v>
      </c>
      <c r="L326" s="170">
        <f t="shared" si="354"/>
        <v>2155.069</v>
      </c>
      <c r="M326" s="170">
        <f t="shared" si="354"/>
        <v>2469.991</v>
      </c>
      <c r="N326" s="170">
        <f t="shared" si="354"/>
        <v>2792.0520000000001</v>
      </c>
      <c r="O326" s="170">
        <f t="shared" si="354"/>
        <v>3048.5320000000002</v>
      </c>
      <c r="P326" s="170">
        <f t="shared" si="354"/>
        <v>3450</v>
      </c>
      <c r="Q326" s="170"/>
      <c r="R326" s="168"/>
      <c r="S326" s="168"/>
    </row>
    <row r="327" spans="1:19">
      <c r="A327" s="119" t="s">
        <v>81</v>
      </c>
      <c r="E327" s="170">
        <f t="shared" ref="E327:L327" si="355">(E324+E326)/2</f>
        <v>122.60899999999999</v>
      </c>
      <c r="F327" s="170">
        <f t="shared" si="355"/>
        <v>350.21249999999998</v>
      </c>
      <c r="G327" s="170">
        <f t="shared" si="355"/>
        <v>568.62750000000005</v>
      </c>
      <c r="H327" s="170">
        <f t="shared" si="355"/>
        <v>808.5915</v>
      </c>
      <c r="I327" s="170">
        <f t="shared" si="355"/>
        <v>1085.626</v>
      </c>
      <c r="J327" s="170">
        <f t="shared" si="355"/>
        <v>1383.1185</v>
      </c>
      <c r="K327" s="170">
        <f t="shared" si="355"/>
        <v>1686.3915</v>
      </c>
      <c r="L327" s="170">
        <f t="shared" si="355"/>
        <v>1998.866</v>
      </c>
      <c r="M327" s="170">
        <f>(M324+M326)/2</f>
        <v>2312.5299999999997</v>
      </c>
      <c r="N327" s="170">
        <f t="shared" ref="N327:P327" si="356">(N324+N326)/2</f>
        <v>2631.0214999999998</v>
      </c>
      <c r="O327" s="170">
        <f t="shared" si="356"/>
        <v>2920.2920000000004</v>
      </c>
      <c r="P327" s="170">
        <f t="shared" si="356"/>
        <v>3249.2660000000001</v>
      </c>
      <c r="Q327" s="170"/>
      <c r="R327" s="168"/>
      <c r="S327" s="168"/>
    </row>
    <row r="328" spans="1:19">
      <c r="E328" s="170"/>
      <c r="F328" s="170"/>
      <c r="G328" s="170"/>
      <c r="H328" s="170"/>
      <c r="I328" s="170"/>
      <c r="J328" s="170"/>
      <c r="K328" s="170"/>
      <c r="L328" s="170"/>
      <c r="M328" s="170"/>
      <c r="N328" s="170"/>
      <c r="O328" s="170"/>
      <c r="P328" s="170"/>
      <c r="Q328" s="170"/>
      <c r="R328" s="168"/>
      <c r="S328" s="168"/>
    </row>
    <row r="329" spans="1:19">
      <c r="E329" s="170"/>
      <c r="F329" s="170"/>
      <c r="G329" s="170"/>
      <c r="H329" s="170"/>
      <c r="I329" s="170"/>
      <c r="J329" s="170"/>
      <c r="K329" s="170"/>
      <c r="L329" s="170"/>
      <c r="M329" s="170"/>
      <c r="N329" s="170"/>
      <c r="O329" s="170"/>
      <c r="P329" s="170"/>
      <c r="Q329" s="170"/>
      <c r="R329" s="168"/>
      <c r="S329" s="168"/>
    </row>
    <row r="330" spans="1:19" ht="30">
      <c r="A330" s="177" t="s">
        <v>222</v>
      </c>
      <c r="B330" s="166">
        <v>3008</v>
      </c>
      <c r="D330" s="119">
        <f>$C$5</f>
        <v>1</v>
      </c>
      <c r="E330" s="172">
        <f>ROUND(CAP15.3!I110,0)*$D$314</f>
        <v>966908</v>
      </c>
      <c r="F330" s="172">
        <f>ROUND(CAP15.3!J110,0)*$D$314</f>
        <v>905859</v>
      </c>
      <c r="G330" s="172">
        <f>ROUND(CAP15.3!K110,0)*$D$314</f>
        <v>1043178</v>
      </c>
      <c r="H330" s="172">
        <f>ROUND(CAP15.3!L110,0)*$D$314</f>
        <v>1197195</v>
      </c>
      <c r="I330" s="172">
        <f>ROUND(CAP15.3!M110,0)*$D$314</f>
        <v>1497110</v>
      </c>
      <c r="J330" s="172">
        <f>ROUND(CAP15.3!N110,0)*$D$314</f>
        <v>1485015</v>
      </c>
      <c r="K330" s="172">
        <f>ROUND(CAP15.3!O110,0)*$D$314</f>
        <v>1408754</v>
      </c>
      <c r="L330" s="172">
        <f>ROUND(CAP15.3!P110,0)*$D$314</f>
        <v>1625299</v>
      </c>
      <c r="M330" s="172">
        <f>ROUND(CAP15.3!Q110,0)*$D$314</f>
        <v>1629658</v>
      </c>
      <c r="N330" s="172">
        <f>ROUND(CAP15.3!R110,0)*$D$314</f>
        <v>1642032</v>
      </c>
      <c r="O330" s="172">
        <f>ROUND(CAP15.3!S110,0)*$D$314</f>
        <v>1203206</v>
      </c>
      <c r="P330" s="172">
        <f>ROUND(CAP15.3!T110,0)*$D$314</f>
        <v>2213215</v>
      </c>
      <c r="Q330" s="178"/>
      <c r="R330" s="168">
        <f>SUM(E330:P330)/1000</f>
        <v>16817.429</v>
      </c>
      <c r="S330" s="168">
        <f>SUM(E335:P335)/12</f>
        <v>7448.3770416666666</v>
      </c>
    </row>
    <row r="331" spans="1:19">
      <c r="A331" s="169" t="s">
        <v>82</v>
      </c>
      <c r="B331" s="169"/>
      <c r="R331" s="168"/>
      <c r="S331" s="168"/>
    </row>
    <row r="332" spans="1:19">
      <c r="A332" s="119" t="s">
        <v>78</v>
      </c>
      <c r="E332" s="119">
        <v>0</v>
      </c>
      <c r="F332" s="170">
        <f t="shared" ref="F332" si="357">E334</f>
        <v>966.90800000000002</v>
      </c>
      <c r="G332" s="170">
        <f t="shared" ref="G332" si="358">F334</f>
        <v>1872.7670000000001</v>
      </c>
      <c r="H332" s="170">
        <f t="shared" ref="H332" si="359">G334</f>
        <v>2915.9450000000002</v>
      </c>
      <c r="I332" s="170">
        <f t="shared" ref="I332" si="360">H334</f>
        <v>4113.1400000000003</v>
      </c>
      <c r="J332" s="170">
        <f t="shared" ref="J332:K332" si="361">I334</f>
        <v>5610.25</v>
      </c>
      <c r="K332" s="170">
        <f t="shared" si="361"/>
        <v>7095.2650000000003</v>
      </c>
      <c r="L332" s="170">
        <f t="shared" ref="L332" si="362">K334</f>
        <v>8504.0190000000002</v>
      </c>
      <c r="M332" s="170">
        <f t="shared" ref="M332" si="363">L334</f>
        <v>10129.317999999999</v>
      </c>
      <c r="N332" s="170">
        <f t="shared" ref="N332" si="364">M334</f>
        <v>11758.975999999999</v>
      </c>
      <c r="O332" s="170">
        <f t="shared" ref="O332" si="365">N334</f>
        <v>13401.007999999998</v>
      </c>
      <c r="P332" s="170">
        <f t="shared" ref="P332" si="366">O334</f>
        <v>14604.213999999998</v>
      </c>
      <c r="Q332" s="170"/>
      <c r="R332" s="168"/>
      <c r="S332" s="168"/>
    </row>
    <row r="333" spans="1:19">
      <c r="A333" s="119" t="s">
        <v>79</v>
      </c>
      <c r="E333" s="170">
        <f>E330/1000</f>
        <v>966.90800000000002</v>
      </c>
      <c r="F333" s="170">
        <f t="shared" ref="F333:P333" si="367">F330/1000</f>
        <v>905.85900000000004</v>
      </c>
      <c r="G333" s="170">
        <f t="shared" si="367"/>
        <v>1043.1780000000001</v>
      </c>
      <c r="H333" s="170">
        <f t="shared" si="367"/>
        <v>1197.1949999999999</v>
      </c>
      <c r="I333" s="170">
        <f t="shared" si="367"/>
        <v>1497.11</v>
      </c>
      <c r="J333" s="170">
        <f t="shared" si="367"/>
        <v>1485.0150000000001</v>
      </c>
      <c r="K333" s="170">
        <f t="shared" si="367"/>
        <v>1408.7539999999999</v>
      </c>
      <c r="L333" s="170">
        <f t="shared" si="367"/>
        <v>1625.299</v>
      </c>
      <c r="M333" s="170">
        <f t="shared" si="367"/>
        <v>1629.6579999999999</v>
      </c>
      <c r="N333" s="170">
        <f t="shared" si="367"/>
        <v>1642.0319999999999</v>
      </c>
      <c r="O333" s="170">
        <f t="shared" si="367"/>
        <v>1203.2059999999999</v>
      </c>
      <c r="P333" s="170">
        <f t="shared" si="367"/>
        <v>2213.2150000000001</v>
      </c>
      <c r="Q333" s="170"/>
      <c r="R333" s="168"/>
      <c r="S333" s="168"/>
    </row>
    <row r="334" spans="1:19">
      <c r="A334" s="119" t="s">
        <v>80</v>
      </c>
      <c r="E334" s="170">
        <f t="shared" ref="E334:P334" si="368">E332+E333</f>
        <v>966.90800000000002</v>
      </c>
      <c r="F334" s="170">
        <f t="shared" si="368"/>
        <v>1872.7670000000001</v>
      </c>
      <c r="G334" s="170">
        <f t="shared" si="368"/>
        <v>2915.9450000000002</v>
      </c>
      <c r="H334" s="170">
        <f t="shared" si="368"/>
        <v>4113.1400000000003</v>
      </c>
      <c r="I334" s="170">
        <f t="shared" si="368"/>
        <v>5610.25</v>
      </c>
      <c r="J334" s="170">
        <f t="shared" si="368"/>
        <v>7095.2650000000003</v>
      </c>
      <c r="K334" s="170">
        <f t="shared" si="368"/>
        <v>8504.0190000000002</v>
      </c>
      <c r="L334" s="170">
        <f t="shared" si="368"/>
        <v>10129.317999999999</v>
      </c>
      <c r="M334" s="170">
        <f t="shared" si="368"/>
        <v>11758.975999999999</v>
      </c>
      <c r="N334" s="170">
        <f t="shared" si="368"/>
        <v>13401.007999999998</v>
      </c>
      <c r="O334" s="170">
        <f t="shared" si="368"/>
        <v>14604.213999999998</v>
      </c>
      <c r="P334" s="170">
        <f t="shared" si="368"/>
        <v>16817.428999999996</v>
      </c>
      <c r="Q334" s="170"/>
      <c r="R334" s="168"/>
      <c r="S334" s="168"/>
    </row>
    <row r="335" spans="1:19">
      <c r="A335" s="119" t="s">
        <v>81</v>
      </c>
      <c r="E335" s="170">
        <f t="shared" ref="E335:L335" si="369">(E332+E334)/2</f>
        <v>483.45400000000001</v>
      </c>
      <c r="F335" s="170">
        <f t="shared" si="369"/>
        <v>1419.8375000000001</v>
      </c>
      <c r="G335" s="170">
        <f t="shared" si="369"/>
        <v>2394.3560000000002</v>
      </c>
      <c r="H335" s="170">
        <f t="shared" si="369"/>
        <v>3514.5425000000005</v>
      </c>
      <c r="I335" s="170">
        <f t="shared" si="369"/>
        <v>4861.6949999999997</v>
      </c>
      <c r="J335" s="170">
        <f t="shared" si="369"/>
        <v>6352.7574999999997</v>
      </c>
      <c r="K335" s="170">
        <f t="shared" si="369"/>
        <v>7799.6419999999998</v>
      </c>
      <c r="L335" s="170">
        <f t="shared" si="369"/>
        <v>9316.6684999999998</v>
      </c>
      <c r="M335" s="170">
        <f>(M332+M334)/2</f>
        <v>10944.146999999999</v>
      </c>
      <c r="N335" s="170">
        <f t="shared" ref="N335:P335" si="370">(N332+N334)/2</f>
        <v>12579.991999999998</v>
      </c>
      <c r="O335" s="170">
        <f t="shared" si="370"/>
        <v>14002.610999999997</v>
      </c>
      <c r="P335" s="170">
        <f t="shared" si="370"/>
        <v>15710.821499999998</v>
      </c>
      <c r="Q335" s="170"/>
      <c r="R335" s="168"/>
      <c r="S335" s="168"/>
    </row>
    <row r="336" spans="1:19">
      <c r="E336" s="170"/>
      <c r="F336" s="170"/>
      <c r="G336" s="170"/>
      <c r="H336" s="170"/>
      <c r="I336" s="170"/>
      <c r="J336" s="170"/>
      <c r="K336" s="170"/>
      <c r="L336" s="170"/>
      <c r="M336" s="170"/>
      <c r="N336" s="170"/>
      <c r="O336" s="170"/>
      <c r="P336" s="170"/>
      <c r="Q336" s="170"/>
      <c r="R336" s="170"/>
      <c r="S336" s="170"/>
    </row>
    <row r="337" spans="1:19" ht="30">
      <c r="A337" s="177" t="s">
        <v>299</v>
      </c>
      <c r="B337" s="166">
        <v>3055</v>
      </c>
      <c r="D337" s="119">
        <f>$C$5</f>
        <v>1</v>
      </c>
      <c r="E337" s="172">
        <f>ROUND(CAP15.3!I112,0)*$D$314</f>
        <v>79781</v>
      </c>
      <c r="F337" s="172">
        <f>ROUND(CAP15.3!J112,0)*$D$314</f>
        <v>64280</v>
      </c>
      <c r="G337" s="172">
        <f>ROUND(CAP15.3!K112,0)*$D$314</f>
        <v>70467</v>
      </c>
      <c r="H337" s="172">
        <f>ROUND(CAP15.3!L112,0)*$D$314</f>
        <v>77173</v>
      </c>
      <c r="I337" s="172">
        <f>ROUND(CAP15.3!M112,0)*$D$314</f>
        <v>84802</v>
      </c>
      <c r="J337" s="172">
        <f>ROUND(CAP15.3!N112,0)*$D$314</f>
        <v>96609</v>
      </c>
      <c r="K337" s="172">
        <f>ROUND(CAP15.3!O112,0)*$D$314</f>
        <v>113365</v>
      </c>
      <c r="L337" s="172">
        <f>ROUND(CAP15.3!P112,0)*$D$314</f>
        <v>92389</v>
      </c>
      <c r="M337" s="172">
        <f>ROUND(CAP15.3!Q112,0)*$D$314</f>
        <v>93496</v>
      </c>
      <c r="N337" s="172">
        <f>ROUND(CAP15.3!R112,0)*$D$314</f>
        <v>89198</v>
      </c>
      <c r="O337" s="172">
        <f>ROUND(CAP15.3!S112,0)*$D$314</f>
        <v>82417</v>
      </c>
      <c r="P337" s="172">
        <f>ROUND(CAP15.3!T112,0)*$D$314</f>
        <v>86023</v>
      </c>
      <c r="Q337" s="178"/>
      <c r="R337" s="168">
        <f>SUM(E337:P337)/1000</f>
        <v>1030</v>
      </c>
      <c r="S337" s="168">
        <f>SUM(E342:P342)/12</f>
        <v>494.82733333333334</v>
      </c>
    </row>
    <row r="338" spans="1:19">
      <c r="A338" s="169" t="s">
        <v>82</v>
      </c>
      <c r="B338" s="169"/>
      <c r="R338" s="168"/>
      <c r="S338" s="168"/>
    </row>
    <row r="339" spans="1:19">
      <c r="A339" s="119" t="s">
        <v>78</v>
      </c>
      <c r="E339" s="119">
        <v>0</v>
      </c>
      <c r="F339" s="170">
        <f t="shared" ref="F339" si="371">E341</f>
        <v>79.781000000000006</v>
      </c>
      <c r="G339" s="170">
        <f t="shared" ref="G339" si="372">F341</f>
        <v>144.06100000000001</v>
      </c>
      <c r="H339" s="170">
        <f t="shared" ref="H339" si="373">G341</f>
        <v>214.52800000000002</v>
      </c>
      <c r="I339" s="170">
        <f t="shared" ref="I339" si="374">H341</f>
        <v>291.70100000000002</v>
      </c>
      <c r="J339" s="170">
        <f t="shared" ref="J339:K339" si="375">I341</f>
        <v>376.50300000000004</v>
      </c>
      <c r="K339" s="170">
        <f t="shared" si="375"/>
        <v>473.11200000000002</v>
      </c>
      <c r="L339" s="170">
        <f t="shared" ref="L339" si="376">K341</f>
        <v>586.47699999999998</v>
      </c>
      <c r="M339" s="170">
        <f t="shared" ref="M339" si="377">L341</f>
        <v>678.86599999999999</v>
      </c>
      <c r="N339" s="170">
        <f t="shared" ref="N339" si="378">M341</f>
        <v>772.36199999999997</v>
      </c>
      <c r="O339" s="170">
        <f t="shared" ref="O339" si="379">N341</f>
        <v>861.56</v>
      </c>
      <c r="P339" s="170">
        <f t="shared" ref="P339" si="380">O341</f>
        <v>943.97699999999998</v>
      </c>
      <c r="Q339" s="170"/>
      <c r="R339" s="168"/>
      <c r="S339" s="168"/>
    </row>
    <row r="340" spans="1:19">
      <c r="A340" s="119" t="s">
        <v>79</v>
      </c>
      <c r="E340" s="170">
        <f>E337/1000</f>
        <v>79.781000000000006</v>
      </c>
      <c r="F340" s="170">
        <f t="shared" ref="F340:P340" si="381">F337/1000</f>
        <v>64.28</v>
      </c>
      <c r="G340" s="170">
        <f t="shared" si="381"/>
        <v>70.466999999999999</v>
      </c>
      <c r="H340" s="170">
        <f t="shared" si="381"/>
        <v>77.173000000000002</v>
      </c>
      <c r="I340" s="170">
        <f t="shared" si="381"/>
        <v>84.802000000000007</v>
      </c>
      <c r="J340" s="170">
        <f t="shared" si="381"/>
        <v>96.608999999999995</v>
      </c>
      <c r="K340" s="170">
        <f t="shared" si="381"/>
        <v>113.36499999999999</v>
      </c>
      <c r="L340" s="170">
        <f t="shared" si="381"/>
        <v>92.388999999999996</v>
      </c>
      <c r="M340" s="170">
        <f t="shared" si="381"/>
        <v>93.495999999999995</v>
      </c>
      <c r="N340" s="170">
        <f t="shared" si="381"/>
        <v>89.197999999999993</v>
      </c>
      <c r="O340" s="170">
        <f t="shared" si="381"/>
        <v>82.417000000000002</v>
      </c>
      <c r="P340" s="170">
        <f t="shared" si="381"/>
        <v>86.022999999999996</v>
      </c>
      <c r="Q340" s="170"/>
      <c r="R340" s="168"/>
      <c r="S340" s="168"/>
    </row>
    <row r="341" spans="1:19">
      <c r="A341" s="119" t="s">
        <v>80</v>
      </c>
      <c r="E341" s="170">
        <f t="shared" ref="E341:P341" si="382">E339+E340</f>
        <v>79.781000000000006</v>
      </c>
      <c r="F341" s="170">
        <f t="shared" si="382"/>
        <v>144.06100000000001</v>
      </c>
      <c r="G341" s="170">
        <f t="shared" si="382"/>
        <v>214.52800000000002</v>
      </c>
      <c r="H341" s="170">
        <f t="shared" si="382"/>
        <v>291.70100000000002</v>
      </c>
      <c r="I341" s="170">
        <f t="shared" si="382"/>
        <v>376.50300000000004</v>
      </c>
      <c r="J341" s="170">
        <f t="shared" si="382"/>
        <v>473.11200000000002</v>
      </c>
      <c r="K341" s="170">
        <f t="shared" si="382"/>
        <v>586.47699999999998</v>
      </c>
      <c r="L341" s="170">
        <f t="shared" si="382"/>
        <v>678.86599999999999</v>
      </c>
      <c r="M341" s="170">
        <f t="shared" si="382"/>
        <v>772.36199999999997</v>
      </c>
      <c r="N341" s="170">
        <f t="shared" si="382"/>
        <v>861.56</v>
      </c>
      <c r="O341" s="170">
        <f t="shared" si="382"/>
        <v>943.97699999999998</v>
      </c>
      <c r="P341" s="170">
        <f t="shared" si="382"/>
        <v>1030</v>
      </c>
      <c r="Q341" s="170"/>
      <c r="R341" s="168"/>
      <c r="S341" s="168"/>
    </row>
    <row r="342" spans="1:19">
      <c r="A342" s="119" t="s">
        <v>81</v>
      </c>
      <c r="E342" s="170">
        <f t="shared" ref="E342:L342" si="383">(E339+E341)/2</f>
        <v>39.890500000000003</v>
      </c>
      <c r="F342" s="170">
        <f t="shared" si="383"/>
        <v>111.92100000000001</v>
      </c>
      <c r="G342" s="170">
        <f t="shared" si="383"/>
        <v>179.29450000000003</v>
      </c>
      <c r="H342" s="170">
        <f t="shared" si="383"/>
        <v>253.11450000000002</v>
      </c>
      <c r="I342" s="170">
        <f t="shared" si="383"/>
        <v>334.10200000000003</v>
      </c>
      <c r="J342" s="170">
        <f t="shared" si="383"/>
        <v>424.8075</v>
      </c>
      <c r="K342" s="170">
        <f t="shared" si="383"/>
        <v>529.79449999999997</v>
      </c>
      <c r="L342" s="170">
        <f t="shared" si="383"/>
        <v>632.67149999999992</v>
      </c>
      <c r="M342" s="170">
        <f>(M339+M341)/2</f>
        <v>725.61400000000003</v>
      </c>
      <c r="N342" s="170">
        <f t="shared" ref="N342:P342" si="384">(N339+N341)/2</f>
        <v>816.96100000000001</v>
      </c>
      <c r="O342" s="170">
        <f t="shared" si="384"/>
        <v>902.7684999999999</v>
      </c>
      <c r="P342" s="170">
        <f t="shared" si="384"/>
        <v>986.98849999999993</v>
      </c>
      <c r="Q342" s="170"/>
      <c r="R342" s="168"/>
      <c r="S342" s="168"/>
    </row>
    <row r="343" spans="1:19">
      <c r="E343" s="170"/>
      <c r="F343" s="170"/>
      <c r="G343" s="170"/>
      <c r="H343" s="170"/>
      <c r="I343" s="170"/>
      <c r="J343" s="170"/>
      <c r="K343" s="170"/>
      <c r="L343" s="170"/>
      <c r="M343" s="170"/>
      <c r="N343" s="170"/>
      <c r="O343" s="170"/>
      <c r="P343" s="170"/>
      <c r="Q343" s="170"/>
      <c r="R343" s="170"/>
      <c r="S343" s="170"/>
    </row>
    <row r="344" spans="1:19">
      <c r="E344" s="170"/>
      <c r="F344" s="170"/>
      <c r="G344" s="170"/>
      <c r="H344" s="170"/>
      <c r="I344" s="170"/>
      <c r="J344" s="170"/>
      <c r="K344" s="170"/>
      <c r="L344" s="170"/>
      <c r="M344" s="170"/>
      <c r="N344" s="170"/>
      <c r="O344" s="170"/>
      <c r="P344" s="170"/>
      <c r="Q344" s="170"/>
      <c r="R344" s="170"/>
      <c r="S344" s="170"/>
    </row>
    <row r="345" spans="1:19">
      <c r="R345" s="170"/>
      <c r="S345" s="170"/>
    </row>
    <row r="346" spans="1:19">
      <c r="R346" s="170"/>
      <c r="S346" s="170"/>
    </row>
    <row r="347" spans="1:19" ht="15.75">
      <c r="M347" s="228" t="s">
        <v>87</v>
      </c>
      <c r="N347" s="228"/>
      <c r="O347" s="228"/>
      <c r="P347" s="228"/>
      <c r="Q347" s="175"/>
      <c r="R347" s="179">
        <f>SUM(R220:R337)</f>
        <v>50374.536</v>
      </c>
      <c r="S347" s="179">
        <f>SUM(S220:S337)</f>
        <v>20073.60366666667</v>
      </c>
    </row>
    <row r="348" spans="1:19">
      <c r="R348" s="170"/>
      <c r="S348" s="170"/>
    </row>
    <row r="349" spans="1:19" ht="15.75">
      <c r="R349" s="180"/>
      <c r="S349" s="180"/>
    </row>
    <row r="350" spans="1:19" ht="16.5" thickBot="1">
      <c r="K350" s="196" t="s">
        <v>88</v>
      </c>
      <c r="N350" s="196"/>
      <c r="O350" s="196"/>
      <c r="Q350" s="195" t="s">
        <v>405</v>
      </c>
      <c r="R350" s="181">
        <f>R347+R216</f>
        <v>448653.56</v>
      </c>
      <c r="S350" s="181">
        <f>S347+S216</f>
        <v>201375.15941666666</v>
      </c>
    </row>
    <row r="351" spans="1:19" ht="16.5" thickTop="1">
      <c r="K351" s="196"/>
      <c r="N351" s="196"/>
      <c r="O351" s="196"/>
      <c r="Q351" s="195"/>
      <c r="R351" s="198" t="s">
        <v>398</v>
      </c>
      <c r="S351" s="197"/>
    </row>
    <row r="352" spans="1:19">
      <c r="R352" s="170">
        <f>R350-'CAP15.1-Allocations'!D355</f>
        <v>-0.17000009992625564</v>
      </c>
      <c r="S352" s="170">
        <f>S350-'CAP15.1-Allocations'!E355</f>
        <v>-8.2256354158744216E-2</v>
      </c>
    </row>
    <row r="353" spans="3:19">
      <c r="R353" s="170"/>
      <c r="S353" s="170"/>
    </row>
    <row r="354" spans="3:19">
      <c r="R354" s="170">
        <f>R350-448653</f>
        <v>0.55999999999767169</v>
      </c>
      <c r="S354" s="170"/>
    </row>
    <row r="355" spans="3:19">
      <c r="C355" s="157"/>
      <c r="D355" s="157"/>
      <c r="E355" s="157"/>
    </row>
    <row r="356" spans="3:19">
      <c r="C356" s="157"/>
      <c r="D356" s="157"/>
      <c r="E356" s="157"/>
    </row>
    <row r="357" spans="3:19">
      <c r="C357" s="157"/>
      <c r="D357" s="157"/>
      <c r="E357" s="157"/>
    </row>
    <row r="358" spans="3:19">
      <c r="C358" s="157"/>
      <c r="D358" s="157"/>
      <c r="G358" s="182"/>
      <c r="H358" s="182"/>
    </row>
    <row r="359" spans="3:19">
      <c r="C359" s="157"/>
      <c r="D359" s="157"/>
      <c r="G359" s="183"/>
    </row>
    <row r="360" spans="3:19">
      <c r="G360" s="183"/>
      <c r="H360" s="183"/>
    </row>
    <row r="361" spans="3:19">
      <c r="G361" s="182"/>
      <c r="H361" s="182"/>
    </row>
    <row r="363" spans="3:19">
      <c r="G363" s="183"/>
      <c r="H363" s="183"/>
    </row>
    <row r="364" spans="3:19">
      <c r="G364" s="184"/>
    </row>
    <row r="366" spans="3:19">
      <c r="G366" s="183"/>
    </row>
  </sheetData>
  <mergeCells count="2">
    <mergeCell ref="M216:P216"/>
    <mergeCell ref="M347:P347"/>
  </mergeCells>
  <phoneticPr fontId="4" type="noConversion"/>
  <pageMargins left="0.5" right="0.25" top="0.75" bottom="0.75" header="0.5" footer="0.5"/>
  <pageSetup scale="65" fitToHeight="5" orientation="landscape" r:id="rId1"/>
  <headerFooter alignWithMargins="0">
    <oddFooter>&amp;L&amp;F
&amp;A</oddFooter>
  </headerFooter>
  <rowBreaks count="4" manualBreakCount="4">
    <brk id="74" max="16" man="1"/>
    <brk id="219" max="16" man="1"/>
    <brk id="273" max="16" man="1"/>
    <brk id="305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238"/>
  <sheetViews>
    <sheetView zoomScale="80" zoomScaleNormal="80" zoomScaleSheetLayoutView="80" workbookViewId="0">
      <pane xSplit="6" ySplit="9" topLeftCell="H124" activePane="bottomRight" state="frozen"/>
      <selection pane="topRight" activeCell="C1" sqref="C1"/>
      <selection pane="bottomLeft" activeCell="A4" sqref="A4"/>
      <selection pane="bottomRight" activeCell="A145" sqref="A145"/>
    </sheetView>
  </sheetViews>
  <sheetFormatPr defaultRowHeight="15" outlineLevelRow="2"/>
  <cols>
    <col min="1" max="1" width="53.85546875" style="124" customWidth="1"/>
    <col min="2" max="3" width="6.85546875" style="124" customWidth="1"/>
    <col min="4" max="4" width="39" style="124" customWidth="1"/>
    <col min="5" max="5" width="8" style="124" customWidth="1"/>
    <col min="6" max="6" width="16.5703125" style="124" bestFit="1" customWidth="1"/>
    <col min="7" max="7" width="59.7109375" style="125" bestFit="1" customWidth="1"/>
    <col min="8" max="8" width="12.140625" style="124" customWidth="1"/>
    <col min="9" max="16" width="17.140625" style="127" hidden="1" customWidth="1"/>
    <col min="17" max="17" width="19.28515625" style="127" hidden="1" customWidth="1"/>
    <col min="18" max="19" width="16.5703125" style="127" hidden="1" customWidth="1"/>
    <col min="20" max="20" width="20.5703125" style="127" hidden="1" customWidth="1"/>
    <col min="21" max="21" width="21.28515625" style="127" bestFit="1" customWidth="1"/>
    <col min="22" max="22" width="22" style="124" customWidth="1"/>
    <col min="23" max="16384" width="9.140625" style="124"/>
  </cols>
  <sheetData>
    <row r="1" spans="1:40">
      <c r="I1" s="126"/>
      <c r="U1" s="128">
        <v>41975</v>
      </c>
    </row>
    <row r="2" spans="1:40">
      <c r="I2" s="126"/>
      <c r="U2" s="127">
        <v>471199413</v>
      </c>
      <c r="V2" s="124" t="s">
        <v>370</v>
      </c>
    </row>
    <row r="3" spans="1:40">
      <c r="I3" s="126"/>
      <c r="U3" s="127">
        <f>-472103</f>
        <v>-472103</v>
      </c>
      <c r="V3" s="124" t="s">
        <v>371</v>
      </c>
    </row>
    <row r="4" spans="1:40">
      <c r="I4" s="126"/>
      <c r="U4" s="127">
        <v>-10000012</v>
      </c>
      <c r="V4" s="124" t="s">
        <v>494</v>
      </c>
    </row>
    <row r="5" spans="1:40">
      <c r="I5" s="126"/>
      <c r="U5" s="127">
        <f>11828374+7440416</f>
        <v>19268790</v>
      </c>
      <c r="V5" s="124" t="s">
        <v>495</v>
      </c>
    </row>
    <row r="6" spans="1:40">
      <c r="I6" s="126"/>
      <c r="U6" s="129">
        <f>SUM(U2:U5)</f>
        <v>479996088</v>
      </c>
      <c r="V6" s="124" t="s">
        <v>372</v>
      </c>
    </row>
    <row r="7" spans="1:40">
      <c r="G7" s="130"/>
      <c r="U7" s="131">
        <v>0</v>
      </c>
    </row>
    <row r="8" spans="1:40">
      <c r="F8" s="128"/>
      <c r="G8" s="130"/>
      <c r="U8" s="131"/>
    </row>
    <row r="9" spans="1:40" s="135" customFormat="1" ht="60">
      <c r="A9" s="132" t="s">
        <v>314</v>
      </c>
      <c r="B9" s="132" t="s">
        <v>313</v>
      </c>
      <c r="C9" s="132" t="s">
        <v>312</v>
      </c>
      <c r="D9" s="132" t="s">
        <v>270</v>
      </c>
      <c r="E9" s="132" t="s">
        <v>22</v>
      </c>
      <c r="F9" s="132" t="s">
        <v>311</v>
      </c>
      <c r="G9" s="132" t="s">
        <v>38</v>
      </c>
      <c r="H9" s="132" t="s">
        <v>275</v>
      </c>
      <c r="I9" s="133" t="s">
        <v>7</v>
      </c>
      <c r="J9" s="133" t="s">
        <v>8</v>
      </c>
      <c r="K9" s="133" t="s">
        <v>9</v>
      </c>
      <c r="L9" s="133" t="s">
        <v>10</v>
      </c>
      <c r="M9" s="133" t="s">
        <v>11</v>
      </c>
      <c r="N9" s="133" t="s">
        <v>12</v>
      </c>
      <c r="O9" s="133" t="s">
        <v>13</v>
      </c>
      <c r="P9" s="133" t="s">
        <v>14</v>
      </c>
      <c r="Q9" s="133" t="s">
        <v>15</v>
      </c>
      <c r="R9" s="133" t="s">
        <v>16</v>
      </c>
      <c r="S9" s="133" t="s">
        <v>17</v>
      </c>
      <c r="T9" s="133" t="s">
        <v>18</v>
      </c>
      <c r="U9" s="134" t="s">
        <v>134</v>
      </c>
    </row>
    <row r="10" spans="1:40" s="151" customFormat="1">
      <c r="A10" s="148"/>
      <c r="B10" s="148"/>
      <c r="C10" s="148"/>
      <c r="D10" s="148"/>
      <c r="E10" s="148"/>
      <c r="F10" s="148"/>
      <c r="G10" s="148"/>
      <c r="H10" s="148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0"/>
    </row>
    <row r="12" spans="1:40" s="135" customFormat="1" outlineLevel="2">
      <c r="A12" s="136" t="s">
        <v>228</v>
      </c>
      <c r="B12" s="136" t="s">
        <v>203</v>
      </c>
      <c r="C12" s="136" t="s">
        <v>40</v>
      </c>
      <c r="D12" s="137" t="s">
        <v>367</v>
      </c>
      <c r="E12" s="138">
        <v>2585</v>
      </c>
      <c r="F12" s="136" t="s">
        <v>143</v>
      </c>
      <c r="G12" s="136" t="s">
        <v>367</v>
      </c>
      <c r="H12" s="136" t="s">
        <v>278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f>SUM(I12:T12)</f>
        <v>0</v>
      </c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</row>
    <row r="13" spans="1:40" s="135" customFormat="1" outlineLevel="1">
      <c r="A13" s="136"/>
      <c r="B13" s="136"/>
      <c r="C13" s="155" t="s">
        <v>294</v>
      </c>
      <c r="D13" s="137"/>
      <c r="E13" s="138"/>
      <c r="F13" s="136"/>
      <c r="G13" s="136"/>
      <c r="H13" s="136"/>
      <c r="I13" s="186">
        <f t="shared" ref="I13:U13" si="0">SUBTOTAL(9,I12:I12)</f>
        <v>0</v>
      </c>
      <c r="J13" s="186">
        <f t="shared" si="0"/>
        <v>0</v>
      </c>
      <c r="K13" s="186">
        <f t="shared" si="0"/>
        <v>0</v>
      </c>
      <c r="L13" s="186">
        <f t="shared" si="0"/>
        <v>0</v>
      </c>
      <c r="M13" s="186">
        <f t="shared" si="0"/>
        <v>0</v>
      </c>
      <c r="N13" s="186">
        <f t="shared" si="0"/>
        <v>0</v>
      </c>
      <c r="O13" s="186">
        <f t="shared" si="0"/>
        <v>0</v>
      </c>
      <c r="P13" s="186">
        <f t="shared" si="0"/>
        <v>0</v>
      </c>
      <c r="Q13" s="186">
        <f t="shared" si="0"/>
        <v>0</v>
      </c>
      <c r="R13" s="186">
        <f t="shared" si="0"/>
        <v>0</v>
      </c>
      <c r="S13" s="186">
        <f t="shared" si="0"/>
        <v>0</v>
      </c>
      <c r="T13" s="186">
        <f t="shared" si="0"/>
        <v>0</v>
      </c>
      <c r="U13" s="186">
        <f t="shared" si="0"/>
        <v>0</v>
      </c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</row>
    <row r="14" spans="1:40" s="135" customFormat="1" outlineLevel="2">
      <c r="A14" s="136" t="s">
        <v>228</v>
      </c>
      <c r="B14" s="136" t="s">
        <v>201</v>
      </c>
      <c r="C14" s="136" t="s">
        <v>40</v>
      </c>
      <c r="D14" s="137" t="s">
        <v>407</v>
      </c>
      <c r="E14" s="138">
        <v>1002</v>
      </c>
      <c r="F14" s="136" t="s">
        <v>139</v>
      </c>
      <c r="G14" s="136" t="s">
        <v>42</v>
      </c>
      <c r="H14" s="136" t="s">
        <v>277</v>
      </c>
      <c r="I14" s="139">
        <f>I234*$V$234</f>
        <v>9762.4290000000001</v>
      </c>
      <c r="J14" s="139">
        <f t="shared" ref="J14:T14" si="1">J234*$V$234</f>
        <v>9762.4290000000001</v>
      </c>
      <c r="K14" s="139">
        <f t="shared" si="1"/>
        <v>9762.6419999999998</v>
      </c>
      <c r="L14" s="139">
        <f t="shared" si="1"/>
        <v>9762.4290000000001</v>
      </c>
      <c r="M14" s="139">
        <f t="shared" si="1"/>
        <v>9762.4290000000001</v>
      </c>
      <c r="N14" s="139">
        <f t="shared" si="1"/>
        <v>9762.6419999999998</v>
      </c>
      <c r="O14" s="139">
        <f t="shared" si="1"/>
        <v>9762.4290000000001</v>
      </c>
      <c r="P14" s="139">
        <f t="shared" si="1"/>
        <v>9762.4290000000001</v>
      </c>
      <c r="Q14" s="139">
        <f t="shared" si="1"/>
        <v>9762.6419999999998</v>
      </c>
      <c r="R14" s="139">
        <f t="shared" si="1"/>
        <v>9762.4290000000001</v>
      </c>
      <c r="S14" s="139">
        <f t="shared" si="1"/>
        <v>9762.4290000000001</v>
      </c>
      <c r="T14" s="139">
        <f t="shared" si="1"/>
        <v>9762.6419999999998</v>
      </c>
      <c r="U14" s="139">
        <f t="shared" ref="U14:U38" si="2">SUM(I14:T14)</f>
        <v>117150</v>
      </c>
    </row>
    <row r="15" spans="1:40" s="135" customFormat="1" outlineLevel="2">
      <c r="A15" s="136" t="s">
        <v>228</v>
      </c>
      <c r="B15" s="136" t="s">
        <v>201</v>
      </c>
      <c r="C15" s="136" t="s">
        <v>40</v>
      </c>
      <c r="D15" s="137" t="s">
        <v>407</v>
      </c>
      <c r="E15" s="138">
        <v>1003</v>
      </c>
      <c r="F15" s="136" t="s">
        <v>139</v>
      </c>
      <c r="G15" s="136" t="s">
        <v>25</v>
      </c>
      <c r="H15" s="136" t="s">
        <v>277</v>
      </c>
      <c r="I15" s="139">
        <f>I235*$V$235</f>
        <v>449067.64199999999</v>
      </c>
      <c r="J15" s="139">
        <f t="shared" ref="J15:T15" si="3">J235*$V$235</f>
        <v>449067.64199999999</v>
      </c>
      <c r="K15" s="139">
        <f t="shared" si="3"/>
        <v>449072.61599999998</v>
      </c>
      <c r="L15" s="139">
        <f t="shared" si="3"/>
        <v>449067.64199999999</v>
      </c>
      <c r="M15" s="139">
        <f t="shared" si="3"/>
        <v>449067.64199999999</v>
      </c>
      <c r="N15" s="139">
        <f t="shared" si="3"/>
        <v>449072.61599999998</v>
      </c>
      <c r="O15" s="139">
        <f t="shared" si="3"/>
        <v>449067.64199999999</v>
      </c>
      <c r="P15" s="139">
        <f t="shared" si="3"/>
        <v>449067.64199999999</v>
      </c>
      <c r="Q15" s="139">
        <f t="shared" si="3"/>
        <v>449072.61599999998</v>
      </c>
      <c r="R15" s="139">
        <f t="shared" si="3"/>
        <v>449067.64199999999</v>
      </c>
      <c r="S15" s="139">
        <f t="shared" si="3"/>
        <v>449067.64199999999</v>
      </c>
      <c r="T15" s="139">
        <f t="shared" si="3"/>
        <v>449072.61599999998</v>
      </c>
      <c r="U15" s="139">
        <f t="shared" si="2"/>
        <v>5388831.6000000006</v>
      </c>
    </row>
    <row r="16" spans="1:40" s="135" customFormat="1" outlineLevel="2">
      <c r="A16" s="136" t="s">
        <v>228</v>
      </c>
      <c r="B16" s="136" t="s">
        <v>201</v>
      </c>
      <c r="C16" s="136" t="s">
        <v>40</v>
      </c>
      <c r="D16" s="137" t="s">
        <v>408</v>
      </c>
      <c r="E16" s="138">
        <v>1006</v>
      </c>
      <c r="F16" s="136" t="s">
        <v>143</v>
      </c>
      <c r="G16" s="136" t="s">
        <v>27</v>
      </c>
      <c r="H16" s="136" t="s">
        <v>276</v>
      </c>
      <c r="I16" s="139">
        <v>0</v>
      </c>
      <c r="J16" s="139">
        <v>0</v>
      </c>
      <c r="K16" s="139">
        <v>0</v>
      </c>
      <c r="L16" s="139">
        <v>0</v>
      </c>
      <c r="M16" s="139">
        <v>400000</v>
      </c>
      <c r="N16" s="139">
        <v>0</v>
      </c>
      <c r="O16" s="139">
        <v>0</v>
      </c>
      <c r="P16" s="139">
        <v>400000</v>
      </c>
      <c r="Q16" s="139">
        <v>0</v>
      </c>
      <c r="R16" s="139">
        <v>400000</v>
      </c>
      <c r="S16" s="139">
        <v>0</v>
      </c>
      <c r="T16" s="139">
        <v>0</v>
      </c>
      <c r="U16" s="139">
        <f t="shared" si="2"/>
        <v>1200000</v>
      </c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</row>
    <row r="17" spans="1:40" s="151" customFormat="1" outlineLevel="2">
      <c r="A17" s="136" t="s">
        <v>228</v>
      </c>
      <c r="B17" s="136" t="s">
        <v>201</v>
      </c>
      <c r="C17" s="136" t="s">
        <v>40</v>
      </c>
      <c r="D17" s="137" t="s">
        <v>409</v>
      </c>
      <c r="E17" s="138">
        <v>2054</v>
      </c>
      <c r="F17" s="136" t="s">
        <v>143</v>
      </c>
      <c r="G17" s="136" t="s">
        <v>33</v>
      </c>
      <c r="H17" s="136" t="s">
        <v>278</v>
      </c>
      <c r="I17" s="139">
        <v>27377</v>
      </c>
      <c r="J17" s="139">
        <v>20183</v>
      </c>
      <c r="K17" s="139">
        <v>19052</v>
      </c>
      <c r="L17" s="139">
        <v>207270</v>
      </c>
      <c r="M17" s="139">
        <v>207985</v>
      </c>
      <c r="N17" s="139">
        <v>206559</v>
      </c>
      <c r="O17" s="139">
        <v>214888</v>
      </c>
      <c r="P17" s="139">
        <v>18394</v>
      </c>
      <c r="Q17" s="139">
        <v>18909</v>
      </c>
      <c r="R17" s="139">
        <v>20367</v>
      </c>
      <c r="S17" s="139">
        <v>20596</v>
      </c>
      <c r="T17" s="139">
        <v>18419</v>
      </c>
      <c r="U17" s="139">
        <f t="shared" si="2"/>
        <v>999999</v>
      </c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</row>
    <row r="18" spans="1:40" s="140" customFormat="1" outlineLevel="2">
      <c r="A18" s="136" t="s">
        <v>228</v>
      </c>
      <c r="B18" s="136" t="s">
        <v>201</v>
      </c>
      <c r="C18" s="136" t="s">
        <v>40</v>
      </c>
      <c r="D18" s="137" t="s">
        <v>410</v>
      </c>
      <c r="E18" s="138">
        <v>2055</v>
      </c>
      <c r="F18" s="136" t="s">
        <v>143</v>
      </c>
      <c r="G18" s="136" t="s">
        <v>34</v>
      </c>
      <c r="H18" s="136" t="s">
        <v>276</v>
      </c>
      <c r="I18" s="139">
        <v>874913</v>
      </c>
      <c r="J18" s="139">
        <v>672226</v>
      </c>
      <c r="K18" s="139">
        <v>640347</v>
      </c>
      <c r="L18" s="139">
        <v>663906</v>
      </c>
      <c r="M18" s="139">
        <v>684065</v>
      </c>
      <c r="N18" s="139">
        <v>643911</v>
      </c>
      <c r="O18" s="139">
        <v>878504</v>
      </c>
      <c r="P18" s="139">
        <v>621873</v>
      </c>
      <c r="Q18" s="139">
        <v>636347</v>
      </c>
      <c r="R18" s="139">
        <v>677425</v>
      </c>
      <c r="S18" s="139">
        <v>683859</v>
      </c>
      <c r="T18" s="139">
        <v>622634</v>
      </c>
      <c r="U18" s="139">
        <f t="shared" si="2"/>
        <v>8300010</v>
      </c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</row>
    <row r="19" spans="1:40" outlineLevel="2">
      <c r="A19" s="136" t="s">
        <v>228</v>
      </c>
      <c r="B19" s="136" t="s">
        <v>201</v>
      </c>
      <c r="C19" s="136" t="s">
        <v>40</v>
      </c>
      <c r="D19" s="137" t="s">
        <v>411</v>
      </c>
      <c r="E19" s="138">
        <v>2056</v>
      </c>
      <c r="F19" s="136" t="s">
        <v>143</v>
      </c>
      <c r="G19" s="136" t="s">
        <v>144</v>
      </c>
      <c r="H19" s="136" t="s">
        <v>277</v>
      </c>
      <c r="I19" s="139">
        <v>248278</v>
      </c>
      <c r="J19" s="139">
        <v>194876</v>
      </c>
      <c r="K19" s="139">
        <v>186481</v>
      </c>
      <c r="L19" s="139">
        <v>192685</v>
      </c>
      <c r="M19" s="139">
        <v>197994</v>
      </c>
      <c r="N19" s="139">
        <v>187418</v>
      </c>
      <c r="O19" s="139">
        <v>249222</v>
      </c>
      <c r="P19" s="139">
        <v>181612</v>
      </c>
      <c r="Q19" s="139">
        <v>185426</v>
      </c>
      <c r="R19" s="139">
        <v>196247</v>
      </c>
      <c r="S19" s="139">
        <v>197942</v>
      </c>
      <c r="T19" s="139">
        <v>181822</v>
      </c>
      <c r="U19" s="139">
        <f t="shared" si="2"/>
        <v>2400003</v>
      </c>
    </row>
    <row r="20" spans="1:40" outlineLevel="2">
      <c r="A20" s="136" t="s">
        <v>228</v>
      </c>
      <c r="B20" s="136" t="s">
        <v>201</v>
      </c>
      <c r="C20" s="136" t="s">
        <v>40</v>
      </c>
      <c r="D20" s="137" t="s">
        <v>412</v>
      </c>
      <c r="E20" s="138">
        <v>2059</v>
      </c>
      <c r="F20" s="136" t="s">
        <v>143</v>
      </c>
      <c r="G20" s="136" t="s">
        <v>215</v>
      </c>
      <c r="H20" s="136" t="s">
        <v>276</v>
      </c>
      <c r="I20" s="139">
        <v>259526</v>
      </c>
      <c r="J20" s="139">
        <v>193315</v>
      </c>
      <c r="K20" s="139">
        <v>155437</v>
      </c>
      <c r="L20" s="139">
        <v>143052</v>
      </c>
      <c r="M20" s="139">
        <v>130102</v>
      </c>
      <c r="N20" s="139">
        <v>123439</v>
      </c>
      <c r="O20" s="139">
        <v>162353</v>
      </c>
      <c r="P20" s="139">
        <v>119785</v>
      </c>
      <c r="Q20" s="139">
        <v>138480</v>
      </c>
      <c r="R20" s="139">
        <v>161591</v>
      </c>
      <c r="S20" s="139">
        <v>195245</v>
      </c>
      <c r="T20" s="139">
        <v>217675</v>
      </c>
      <c r="U20" s="139">
        <f t="shared" si="2"/>
        <v>2000000</v>
      </c>
    </row>
    <row r="21" spans="1:40" outlineLevel="2">
      <c r="A21" s="136" t="s">
        <v>228</v>
      </c>
      <c r="B21" s="136" t="s">
        <v>201</v>
      </c>
      <c r="C21" s="136" t="s">
        <v>40</v>
      </c>
      <c r="D21" s="137" t="s">
        <v>413</v>
      </c>
      <c r="E21" s="138">
        <v>2060</v>
      </c>
      <c r="F21" s="136" t="s">
        <v>143</v>
      </c>
      <c r="G21" s="136" t="s">
        <v>37</v>
      </c>
      <c r="H21" s="136" t="s">
        <v>276</v>
      </c>
      <c r="I21" s="139">
        <v>1201075</v>
      </c>
      <c r="J21" s="139">
        <v>886492</v>
      </c>
      <c r="K21" s="139">
        <v>837013</v>
      </c>
      <c r="L21" s="139">
        <v>873580</v>
      </c>
      <c r="M21" s="139">
        <v>904869</v>
      </c>
      <c r="N21" s="139">
        <v>842546</v>
      </c>
      <c r="O21" s="139">
        <v>1206648</v>
      </c>
      <c r="P21" s="139">
        <v>808342</v>
      </c>
      <c r="Q21" s="139">
        <v>830805</v>
      </c>
      <c r="R21" s="139">
        <v>894563</v>
      </c>
      <c r="S21" s="139">
        <v>904551</v>
      </c>
      <c r="T21" s="139">
        <v>809518</v>
      </c>
      <c r="U21" s="139">
        <f t="shared" si="2"/>
        <v>11000002</v>
      </c>
    </row>
    <row r="22" spans="1:40" s="151" customFormat="1">
      <c r="A22" s="136" t="s">
        <v>228</v>
      </c>
      <c r="B22" s="136" t="s">
        <v>201</v>
      </c>
      <c r="C22" s="136" t="s">
        <v>40</v>
      </c>
      <c r="D22" s="137" t="s">
        <v>414</v>
      </c>
      <c r="E22" s="138">
        <v>2073</v>
      </c>
      <c r="F22" s="136" t="s">
        <v>143</v>
      </c>
      <c r="G22" s="136" t="s">
        <v>348</v>
      </c>
      <c r="H22" s="136" t="s">
        <v>276</v>
      </c>
      <c r="I22" s="139">
        <v>25000</v>
      </c>
      <c r="J22" s="139">
        <v>25000</v>
      </c>
      <c r="K22" s="139">
        <v>25000</v>
      </c>
      <c r="L22" s="139">
        <v>25000</v>
      </c>
      <c r="M22" s="139">
        <v>25000</v>
      </c>
      <c r="N22" s="139">
        <v>25000</v>
      </c>
      <c r="O22" s="139">
        <v>25000</v>
      </c>
      <c r="P22" s="139">
        <v>25000</v>
      </c>
      <c r="Q22" s="139">
        <v>25000</v>
      </c>
      <c r="R22" s="139">
        <v>25000</v>
      </c>
      <c r="S22" s="139">
        <v>25000</v>
      </c>
      <c r="T22" s="139">
        <v>24998</v>
      </c>
      <c r="U22" s="139">
        <f t="shared" si="2"/>
        <v>299998</v>
      </c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40"/>
      <c r="AN22" s="140"/>
    </row>
    <row r="23" spans="1:40" outlineLevel="2">
      <c r="A23" s="136" t="s">
        <v>228</v>
      </c>
      <c r="B23" s="136" t="s">
        <v>201</v>
      </c>
      <c r="C23" s="136" t="s">
        <v>40</v>
      </c>
      <c r="D23" s="137" t="s">
        <v>415</v>
      </c>
      <c r="E23" s="138">
        <v>2204</v>
      </c>
      <c r="F23" s="136" t="s">
        <v>143</v>
      </c>
      <c r="G23" s="136" t="s">
        <v>44</v>
      </c>
      <c r="H23" s="136" t="s">
        <v>276</v>
      </c>
      <c r="I23" s="139">
        <v>6276</v>
      </c>
      <c r="J23" s="139">
        <v>6276</v>
      </c>
      <c r="K23" s="139">
        <v>6276</v>
      </c>
      <c r="L23" s="139">
        <v>6276</v>
      </c>
      <c r="M23" s="139">
        <v>6276</v>
      </c>
      <c r="N23" s="139">
        <v>6276</v>
      </c>
      <c r="O23" s="139">
        <v>6276</v>
      </c>
      <c r="P23" s="139">
        <v>6276</v>
      </c>
      <c r="Q23" s="139">
        <v>6276</v>
      </c>
      <c r="R23" s="139">
        <v>6276</v>
      </c>
      <c r="S23" s="139">
        <v>6276</v>
      </c>
      <c r="T23" s="139">
        <v>86276</v>
      </c>
      <c r="U23" s="139">
        <f t="shared" si="2"/>
        <v>155312</v>
      </c>
    </row>
    <row r="24" spans="1:40" outlineLevel="2">
      <c r="A24" s="136" t="s">
        <v>228</v>
      </c>
      <c r="B24" s="136" t="s">
        <v>201</v>
      </c>
      <c r="C24" s="136" t="s">
        <v>40</v>
      </c>
      <c r="D24" s="137" t="s">
        <v>416</v>
      </c>
      <c r="E24" s="138">
        <v>2253</v>
      </c>
      <c r="F24" s="136" t="s">
        <v>143</v>
      </c>
      <c r="G24" s="136" t="s">
        <v>242</v>
      </c>
      <c r="H24" s="136" t="s">
        <v>276</v>
      </c>
      <c r="I24" s="139">
        <v>12500</v>
      </c>
      <c r="J24" s="139">
        <v>0</v>
      </c>
      <c r="K24" s="139">
        <v>0</v>
      </c>
      <c r="L24" s="139">
        <v>12500</v>
      </c>
      <c r="M24" s="139">
        <v>0</v>
      </c>
      <c r="N24" s="139">
        <v>0</v>
      </c>
      <c r="O24" s="139">
        <v>12500</v>
      </c>
      <c r="P24" s="139">
        <v>0</v>
      </c>
      <c r="Q24" s="139">
        <v>0</v>
      </c>
      <c r="R24" s="139">
        <v>12500</v>
      </c>
      <c r="S24" s="139">
        <v>0</v>
      </c>
      <c r="T24" s="139">
        <v>0</v>
      </c>
      <c r="U24" s="139">
        <f t="shared" si="2"/>
        <v>50000</v>
      </c>
    </row>
    <row r="25" spans="1:40" outlineLevel="2">
      <c r="A25" s="136" t="s">
        <v>228</v>
      </c>
      <c r="B25" s="136" t="s">
        <v>201</v>
      </c>
      <c r="C25" s="136" t="s">
        <v>40</v>
      </c>
      <c r="D25" s="137" t="s">
        <v>416</v>
      </c>
      <c r="E25" s="138">
        <v>2275</v>
      </c>
      <c r="F25" s="136" t="s">
        <v>143</v>
      </c>
      <c r="G25" s="136" t="s">
        <v>145</v>
      </c>
      <c r="H25" s="136" t="s">
        <v>276</v>
      </c>
      <c r="I25" s="139">
        <v>25000</v>
      </c>
      <c r="J25" s="139">
        <v>0</v>
      </c>
      <c r="K25" s="139">
        <v>0</v>
      </c>
      <c r="L25" s="139">
        <v>25000</v>
      </c>
      <c r="M25" s="139">
        <v>0</v>
      </c>
      <c r="N25" s="139">
        <v>0</v>
      </c>
      <c r="O25" s="139">
        <v>25000</v>
      </c>
      <c r="P25" s="139">
        <v>0</v>
      </c>
      <c r="Q25" s="139">
        <v>0</v>
      </c>
      <c r="R25" s="139">
        <v>25000</v>
      </c>
      <c r="S25" s="139">
        <v>0</v>
      </c>
      <c r="T25" s="139">
        <v>0</v>
      </c>
      <c r="U25" s="139">
        <f t="shared" si="2"/>
        <v>100000</v>
      </c>
    </row>
    <row r="26" spans="1:40" outlineLevel="2">
      <c r="A26" s="136" t="s">
        <v>228</v>
      </c>
      <c r="B26" s="136" t="s">
        <v>201</v>
      </c>
      <c r="C26" s="136" t="s">
        <v>40</v>
      </c>
      <c r="D26" s="137" t="s">
        <v>243</v>
      </c>
      <c r="E26" s="138">
        <v>2276</v>
      </c>
      <c r="F26" s="136" t="s">
        <v>143</v>
      </c>
      <c r="G26" s="136" t="s">
        <v>243</v>
      </c>
      <c r="H26" s="136" t="s">
        <v>276</v>
      </c>
      <c r="I26" s="139">
        <v>625</v>
      </c>
      <c r="J26" s="139">
        <v>625</v>
      </c>
      <c r="K26" s="139">
        <v>4375</v>
      </c>
      <c r="L26" s="139">
        <v>4375</v>
      </c>
      <c r="M26" s="139">
        <v>17500</v>
      </c>
      <c r="N26" s="139">
        <v>17500</v>
      </c>
      <c r="O26" s="139">
        <v>17500</v>
      </c>
      <c r="P26" s="139">
        <v>20000</v>
      </c>
      <c r="Q26" s="139">
        <v>20000</v>
      </c>
      <c r="R26" s="139">
        <v>20000</v>
      </c>
      <c r="S26" s="139">
        <v>2500</v>
      </c>
      <c r="T26" s="139">
        <v>0</v>
      </c>
      <c r="U26" s="139">
        <f t="shared" si="2"/>
        <v>125000</v>
      </c>
    </row>
    <row r="27" spans="1:40" outlineLevel="2">
      <c r="A27" s="136" t="s">
        <v>228</v>
      </c>
      <c r="B27" s="136" t="s">
        <v>201</v>
      </c>
      <c r="C27" s="136" t="s">
        <v>40</v>
      </c>
      <c r="D27" s="137" t="s">
        <v>416</v>
      </c>
      <c r="E27" s="138">
        <v>2278</v>
      </c>
      <c r="F27" s="136" t="s">
        <v>143</v>
      </c>
      <c r="G27" s="136" t="s">
        <v>48</v>
      </c>
      <c r="H27" s="136" t="s">
        <v>276</v>
      </c>
      <c r="I27" s="139">
        <v>67310</v>
      </c>
      <c r="J27" s="139">
        <v>643</v>
      </c>
      <c r="K27" s="139">
        <v>67309</v>
      </c>
      <c r="L27" s="139">
        <v>643</v>
      </c>
      <c r="M27" s="139">
        <v>67310</v>
      </c>
      <c r="N27" s="139">
        <v>643</v>
      </c>
      <c r="O27" s="139">
        <v>67309</v>
      </c>
      <c r="P27" s="139">
        <v>643</v>
      </c>
      <c r="Q27" s="139">
        <v>67310</v>
      </c>
      <c r="R27" s="139">
        <v>643</v>
      </c>
      <c r="S27" s="139">
        <v>67310</v>
      </c>
      <c r="T27" s="139">
        <v>643</v>
      </c>
      <c r="U27" s="139">
        <f t="shared" si="2"/>
        <v>407716</v>
      </c>
    </row>
    <row r="28" spans="1:40" outlineLevel="2">
      <c r="A28" s="136" t="s">
        <v>228</v>
      </c>
      <c r="B28" s="136" t="s">
        <v>201</v>
      </c>
      <c r="C28" s="136" t="s">
        <v>40</v>
      </c>
      <c r="D28" s="137" t="s">
        <v>416</v>
      </c>
      <c r="E28" s="138">
        <v>2293</v>
      </c>
      <c r="F28" s="136" t="s">
        <v>143</v>
      </c>
      <c r="G28" s="136" t="s">
        <v>147</v>
      </c>
      <c r="H28" s="136" t="s">
        <v>276</v>
      </c>
      <c r="I28" s="139">
        <v>0</v>
      </c>
      <c r="J28" s="139">
        <v>0</v>
      </c>
      <c r="K28" s="139">
        <v>0</v>
      </c>
      <c r="L28" s="139">
        <v>0</v>
      </c>
      <c r="M28" s="139">
        <v>85326</v>
      </c>
      <c r="N28" s="139">
        <v>0</v>
      </c>
      <c r="O28" s="139">
        <v>0</v>
      </c>
      <c r="P28" s="139">
        <v>0</v>
      </c>
      <c r="Q28" s="139">
        <v>56884</v>
      </c>
      <c r="R28" s="139">
        <v>0</v>
      </c>
      <c r="S28" s="139">
        <v>57790</v>
      </c>
      <c r="T28" s="139">
        <v>0</v>
      </c>
      <c r="U28" s="139">
        <f t="shared" si="2"/>
        <v>200000</v>
      </c>
    </row>
    <row r="29" spans="1:40" outlineLevel="2">
      <c r="A29" s="136" t="s">
        <v>228</v>
      </c>
      <c r="B29" s="136" t="s">
        <v>201</v>
      </c>
      <c r="C29" s="136" t="s">
        <v>40</v>
      </c>
      <c r="D29" s="137" t="s">
        <v>416</v>
      </c>
      <c r="E29" s="138">
        <v>2336</v>
      </c>
      <c r="F29" s="136" t="s">
        <v>143</v>
      </c>
      <c r="G29" s="136" t="s">
        <v>217</v>
      </c>
      <c r="H29" s="136" t="s">
        <v>276</v>
      </c>
      <c r="I29" s="139">
        <v>0</v>
      </c>
      <c r="J29" s="139">
        <v>0</v>
      </c>
      <c r="K29" s="139">
        <v>0</v>
      </c>
      <c r="L29" s="139">
        <v>0</v>
      </c>
      <c r="M29" s="139">
        <v>120000</v>
      </c>
      <c r="N29" s="139">
        <v>0</v>
      </c>
      <c r="O29" s="139">
        <v>0</v>
      </c>
      <c r="P29" s="139">
        <v>0</v>
      </c>
      <c r="Q29" s="139">
        <v>90000</v>
      </c>
      <c r="R29" s="139">
        <v>0</v>
      </c>
      <c r="S29" s="139">
        <v>90000</v>
      </c>
      <c r="T29" s="139">
        <v>0</v>
      </c>
      <c r="U29" s="139">
        <f t="shared" si="2"/>
        <v>300000</v>
      </c>
    </row>
    <row r="30" spans="1:40" outlineLevel="2">
      <c r="A30" s="136" t="s">
        <v>228</v>
      </c>
      <c r="B30" s="136" t="s">
        <v>201</v>
      </c>
      <c r="C30" s="136" t="s">
        <v>40</v>
      </c>
      <c r="D30" s="137" t="s">
        <v>417</v>
      </c>
      <c r="E30" s="138">
        <v>2414</v>
      </c>
      <c r="F30" s="136" t="s">
        <v>143</v>
      </c>
      <c r="G30" s="136" t="s">
        <v>50</v>
      </c>
      <c r="H30" s="136" t="s">
        <v>276</v>
      </c>
      <c r="I30" s="139">
        <v>20833</v>
      </c>
      <c r="J30" s="139">
        <v>20833</v>
      </c>
      <c r="K30" s="139">
        <v>20833</v>
      </c>
      <c r="L30" s="139">
        <v>20833</v>
      </c>
      <c r="M30" s="139">
        <v>20833</v>
      </c>
      <c r="N30" s="139">
        <v>20833</v>
      </c>
      <c r="O30" s="139">
        <v>20833</v>
      </c>
      <c r="P30" s="139">
        <v>20833</v>
      </c>
      <c r="Q30" s="139">
        <v>20833</v>
      </c>
      <c r="R30" s="139">
        <v>20833</v>
      </c>
      <c r="S30" s="139">
        <v>20833</v>
      </c>
      <c r="T30" s="139">
        <v>1770022</v>
      </c>
      <c r="U30" s="139">
        <f t="shared" si="2"/>
        <v>1999185</v>
      </c>
    </row>
    <row r="31" spans="1:40" outlineLevel="2">
      <c r="A31" s="136" t="s">
        <v>228</v>
      </c>
      <c r="B31" s="136" t="s">
        <v>201</v>
      </c>
      <c r="C31" s="136" t="s">
        <v>40</v>
      </c>
      <c r="D31" s="137" t="s">
        <v>418</v>
      </c>
      <c r="E31" s="138">
        <v>2423</v>
      </c>
      <c r="F31" s="136" t="s">
        <v>143</v>
      </c>
      <c r="G31" s="136" t="s">
        <v>199</v>
      </c>
      <c r="H31" s="136" t="s">
        <v>276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2500000</v>
      </c>
      <c r="U31" s="139">
        <f t="shared" si="2"/>
        <v>2500000</v>
      </c>
    </row>
    <row r="32" spans="1:40" outlineLevel="2">
      <c r="A32" s="136" t="s">
        <v>228</v>
      </c>
      <c r="B32" s="136" t="s">
        <v>201</v>
      </c>
      <c r="C32" s="136" t="s">
        <v>40</v>
      </c>
      <c r="D32" s="137" t="s">
        <v>416</v>
      </c>
      <c r="E32" s="138">
        <v>2425</v>
      </c>
      <c r="F32" s="136" t="s">
        <v>143</v>
      </c>
      <c r="G32" s="136" t="s">
        <v>149</v>
      </c>
      <c r="H32" s="136" t="s">
        <v>276</v>
      </c>
      <c r="I32" s="139">
        <v>0</v>
      </c>
      <c r="J32" s="139">
        <v>0</v>
      </c>
      <c r="K32" s="139">
        <v>50000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50000</v>
      </c>
      <c r="S32" s="139">
        <v>0</v>
      </c>
      <c r="T32" s="139">
        <v>0</v>
      </c>
      <c r="U32" s="139">
        <f t="shared" si="2"/>
        <v>100000</v>
      </c>
    </row>
    <row r="33" spans="1:21" outlineLevel="2">
      <c r="A33" s="136" t="s">
        <v>228</v>
      </c>
      <c r="B33" s="136" t="s">
        <v>201</v>
      </c>
      <c r="C33" s="136" t="s">
        <v>40</v>
      </c>
      <c r="D33" s="137" t="s">
        <v>354</v>
      </c>
      <c r="E33" s="138">
        <v>2470</v>
      </c>
      <c r="F33" s="136" t="s">
        <v>143</v>
      </c>
      <c r="G33" s="136" t="s">
        <v>354</v>
      </c>
      <c r="H33" s="136" t="s">
        <v>276</v>
      </c>
      <c r="I33" s="139">
        <v>556668</v>
      </c>
      <c r="J33" s="139">
        <v>467149</v>
      </c>
      <c r="K33" s="139">
        <v>528640</v>
      </c>
      <c r="L33" s="139">
        <v>585311</v>
      </c>
      <c r="M33" s="139">
        <v>664514</v>
      </c>
      <c r="N33" s="139">
        <v>743387</v>
      </c>
      <c r="O33" s="139">
        <v>823113</v>
      </c>
      <c r="P33" s="139">
        <v>733380</v>
      </c>
      <c r="Q33" s="139">
        <v>739770</v>
      </c>
      <c r="R33" s="139">
        <v>709612</v>
      </c>
      <c r="S33" s="139">
        <v>616660</v>
      </c>
      <c r="T33" s="139">
        <v>3756797</v>
      </c>
      <c r="U33" s="139">
        <f t="shared" si="2"/>
        <v>10925001</v>
      </c>
    </row>
    <row r="34" spans="1:21" outlineLevel="2">
      <c r="A34" s="136" t="s">
        <v>228</v>
      </c>
      <c r="B34" s="136" t="s">
        <v>201</v>
      </c>
      <c r="C34" s="136" t="s">
        <v>40</v>
      </c>
      <c r="D34" s="137" t="s">
        <v>416</v>
      </c>
      <c r="E34" s="138">
        <v>2493</v>
      </c>
      <c r="F34" s="136" t="s">
        <v>143</v>
      </c>
      <c r="G34" s="136" t="s">
        <v>2</v>
      </c>
      <c r="H34" s="136" t="s">
        <v>276</v>
      </c>
      <c r="I34" s="139">
        <v>58333</v>
      </c>
      <c r="J34" s="139">
        <v>0</v>
      </c>
      <c r="K34" s="139">
        <v>58334</v>
      </c>
      <c r="L34" s="139">
        <v>0</v>
      </c>
      <c r="M34" s="139">
        <v>58333</v>
      </c>
      <c r="N34" s="139">
        <v>0</v>
      </c>
      <c r="O34" s="139">
        <v>58334</v>
      </c>
      <c r="P34" s="139">
        <v>0</v>
      </c>
      <c r="Q34" s="139">
        <v>58333</v>
      </c>
      <c r="R34" s="139">
        <v>0</v>
      </c>
      <c r="S34" s="139">
        <v>58333</v>
      </c>
      <c r="T34" s="139">
        <v>0</v>
      </c>
      <c r="U34" s="139">
        <f t="shared" si="2"/>
        <v>350000</v>
      </c>
    </row>
    <row r="35" spans="1:21" outlineLevel="2">
      <c r="A35" s="136" t="s">
        <v>228</v>
      </c>
      <c r="B35" s="136" t="s">
        <v>201</v>
      </c>
      <c r="C35" s="136" t="s">
        <v>40</v>
      </c>
      <c r="D35" s="137" t="s">
        <v>419</v>
      </c>
      <c r="E35" s="138">
        <v>2516</v>
      </c>
      <c r="F35" s="136" t="s">
        <v>143</v>
      </c>
      <c r="G35" s="136" t="s">
        <v>153</v>
      </c>
      <c r="H35" s="136" t="s">
        <v>276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799196</v>
      </c>
      <c r="U35" s="139">
        <f t="shared" si="2"/>
        <v>799196</v>
      </c>
    </row>
    <row r="36" spans="1:21" outlineLevel="2">
      <c r="A36" s="136" t="s">
        <v>228</v>
      </c>
      <c r="B36" s="136" t="s">
        <v>201</v>
      </c>
      <c r="C36" s="136" t="s">
        <v>40</v>
      </c>
      <c r="D36" s="137" t="s">
        <v>420</v>
      </c>
      <c r="E36" s="138">
        <v>2535</v>
      </c>
      <c r="F36" s="136" t="s">
        <v>143</v>
      </c>
      <c r="G36" s="136" t="s">
        <v>281</v>
      </c>
      <c r="H36" s="136" t="s">
        <v>276</v>
      </c>
      <c r="I36" s="139">
        <v>513724</v>
      </c>
      <c r="J36" s="139">
        <v>378717</v>
      </c>
      <c r="K36" s="139">
        <v>357482</v>
      </c>
      <c r="L36" s="139">
        <v>373175</v>
      </c>
      <c r="M36" s="139">
        <v>386603</v>
      </c>
      <c r="N36" s="139">
        <v>359855</v>
      </c>
      <c r="O36" s="139">
        <v>516117</v>
      </c>
      <c r="P36" s="139">
        <v>345177</v>
      </c>
      <c r="Q36" s="139">
        <v>354817</v>
      </c>
      <c r="R36" s="139">
        <v>382180</v>
      </c>
      <c r="S36" s="139">
        <v>386467</v>
      </c>
      <c r="T36" s="139">
        <v>345686</v>
      </c>
      <c r="U36" s="139">
        <f t="shared" si="2"/>
        <v>4700000</v>
      </c>
    </row>
    <row r="37" spans="1:21" outlineLevel="2">
      <c r="A37" s="136" t="s">
        <v>228</v>
      </c>
      <c r="B37" s="136" t="s">
        <v>201</v>
      </c>
      <c r="C37" s="136" t="s">
        <v>40</v>
      </c>
      <c r="D37" s="137" t="s">
        <v>421</v>
      </c>
      <c r="E37" s="138">
        <v>2584</v>
      </c>
      <c r="F37" s="136" t="s">
        <v>143</v>
      </c>
      <c r="G37" s="136" t="s">
        <v>366</v>
      </c>
      <c r="H37" s="136" t="s">
        <v>278</v>
      </c>
      <c r="I37" s="139">
        <v>133278</v>
      </c>
      <c r="J37" s="139">
        <v>124121</v>
      </c>
      <c r="K37" s="139">
        <v>122680</v>
      </c>
      <c r="L37" s="139">
        <v>123745</v>
      </c>
      <c r="M37" s="139">
        <v>124657</v>
      </c>
      <c r="N37" s="139">
        <v>122843</v>
      </c>
      <c r="O37" s="139">
        <v>133440</v>
      </c>
      <c r="P37" s="139">
        <v>121847</v>
      </c>
      <c r="Q37" s="139">
        <v>122501</v>
      </c>
      <c r="R37" s="139">
        <v>124357</v>
      </c>
      <c r="S37" s="139">
        <v>124647</v>
      </c>
      <c r="T37" s="139">
        <v>121884</v>
      </c>
      <c r="U37" s="139">
        <f t="shared" si="2"/>
        <v>1500000</v>
      </c>
    </row>
    <row r="38" spans="1:21" outlineLevel="2">
      <c r="A38" s="136" t="s">
        <v>228</v>
      </c>
      <c r="B38" s="136" t="s">
        <v>201</v>
      </c>
      <c r="C38" s="136" t="s">
        <v>40</v>
      </c>
      <c r="D38" s="137" t="s">
        <v>422</v>
      </c>
      <c r="E38" s="138">
        <v>6000</v>
      </c>
      <c r="F38" s="136" t="s">
        <v>135</v>
      </c>
      <c r="G38" s="136" t="s">
        <v>64</v>
      </c>
      <c r="H38" s="136" t="s">
        <v>276</v>
      </c>
      <c r="I38" s="139">
        <v>0</v>
      </c>
      <c r="J38" s="139">
        <v>0</v>
      </c>
      <c r="K38" s="139">
        <v>37500</v>
      </c>
      <c r="L38" s="139">
        <v>0</v>
      </c>
      <c r="M38" s="139">
        <v>0</v>
      </c>
      <c r="N38" s="139">
        <v>37500</v>
      </c>
      <c r="O38" s="139">
        <v>0</v>
      </c>
      <c r="P38" s="139">
        <v>0</v>
      </c>
      <c r="Q38" s="139">
        <v>37500</v>
      </c>
      <c r="R38" s="139">
        <v>0</v>
      </c>
      <c r="S38" s="139">
        <v>0</v>
      </c>
      <c r="T38" s="139">
        <v>37500</v>
      </c>
      <c r="U38" s="139">
        <f t="shared" si="2"/>
        <v>150000</v>
      </c>
    </row>
    <row r="39" spans="1:21" outlineLevel="1">
      <c r="A39" s="136"/>
      <c r="B39" s="136"/>
      <c r="C39" s="154" t="s">
        <v>294</v>
      </c>
      <c r="D39" s="137"/>
      <c r="E39" s="138"/>
      <c r="F39" s="136"/>
      <c r="G39" s="136"/>
      <c r="H39" s="136"/>
      <c r="I39" s="186">
        <f t="shared" ref="I39:U39" si="4">SUBTOTAL(9,I14:I38)</f>
        <v>4489546.0710000005</v>
      </c>
      <c r="J39" s="186">
        <f t="shared" si="4"/>
        <v>3449286.071</v>
      </c>
      <c r="K39" s="186">
        <f t="shared" si="4"/>
        <v>3575594.2579999999</v>
      </c>
      <c r="L39" s="186">
        <f t="shared" si="4"/>
        <v>3716181.071</v>
      </c>
      <c r="M39" s="186">
        <f t="shared" si="4"/>
        <v>4560197.0710000005</v>
      </c>
      <c r="N39" s="186">
        <f t="shared" si="4"/>
        <v>3796545.2579999999</v>
      </c>
      <c r="O39" s="186">
        <f t="shared" si="4"/>
        <v>4875867.0710000005</v>
      </c>
      <c r="P39" s="186">
        <f t="shared" si="4"/>
        <v>3881992.071</v>
      </c>
      <c r="Q39" s="186">
        <f t="shared" si="4"/>
        <v>3868026.2579999999</v>
      </c>
      <c r="R39" s="186">
        <f t="shared" si="4"/>
        <v>4185424.071</v>
      </c>
      <c r="S39" s="186">
        <f t="shared" si="4"/>
        <v>3916839.071</v>
      </c>
      <c r="T39" s="186">
        <f t="shared" si="4"/>
        <v>11751905.257999999</v>
      </c>
      <c r="U39" s="186">
        <f t="shared" si="4"/>
        <v>56067403.600000001</v>
      </c>
    </row>
    <row r="40" spans="1:21" outlineLevel="2">
      <c r="A40" s="136" t="s">
        <v>228</v>
      </c>
      <c r="B40" s="136" t="s">
        <v>201</v>
      </c>
      <c r="C40" s="136" t="s">
        <v>46</v>
      </c>
      <c r="D40" s="137" t="s">
        <v>415</v>
      </c>
      <c r="E40" s="138">
        <v>2502</v>
      </c>
      <c r="F40" s="136" t="s">
        <v>143</v>
      </c>
      <c r="G40" s="136" t="s">
        <v>356</v>
      </c>
      <c r="H40" s="136" t="s">
        <v>276</v>
      </c>
      <c r="I40" s="139"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f>SUM(I40:T40)</f>
        <v>0</v>
      </c>
    </row>
    <row r="41" spans="1:21" outlineLevel="2">
      <c r="A41" s="136" t="s">
        <v>228</v>
      </c>
      <c r="B41" s="136" t="s">
        <v>201</v>
      </c>
      <c r="C41" s="136" t="s">
        <v>46</v>
      </c>
      <c r="D41" s="137" t="s">
        <v>419</v>
      </c>
      <c r="E41" s="138">
        <v>2515</v>
      </c>
      <c r="F41" s="136" t="s">
        <v>143</v>
      </c>
      <c r="G41" s="136" t="s">
        <v>152</v>
      </c>
      <c r="H41" s="136" t="s">
        <v>276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814261</v>
      </c>
      <c r="U41" s="139">
        <f>SUM(I41:T41)</f>
        <v>814261</v>
      </c>
    </row>
    <row r="42" spans="1:21" outlineLevel="2">
      <c r="A42" s="136" t="s">
        <v>228</v>
      </c>
      <c r="B42" s="136" t="s">
        <v>201</v>
      </c>
      <c r="C42" s="136" t="s">
        <v>46</v>
      </c>
      <c r="D42" s="137" t="s">
        <v>354</v>
      </c>
      <c r="E42" s="138">
        <v>2570</v>
      </c>
      <c r="F42" s="136" t="s">
        <v>143</v>
      </c>
      <c r="G42" s="136" t="s">
        <v>282</v>
      </c>
      <c r="H42" s="136" t="s">
        <v>278</v>
      </c>
      <c r="I42" s="139">
        <v>0</v>
      </c>
      <c r="J42" s="139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75000</v>
      </c>
      <c r="U42" s="139">
        <f>SUM(I42:T42)</f>
        <v>75000</v>
      </c>
    </row>
    <row r="43" spans="1:21" outlineLevel="1">
      <c r="A43" s="136"/>
      <c r="B43" s="136"/>
      <c r="C43" s="154" t="s">
        <v>295</v>
      </c>
      <c r="D43" s="137"/>
      <c r="E43" s="138"/>
      <c r="F43" s="136"/>
      <c r="G43" s="136"/>
      <c r="H43" s="136"/>
      <c r="I43" s="186">
        <f t="shared" ref="I43:U43" si="5">SUBTOTAL(9,I40:I42)</f>
        <v>0</v>
      </c>
      <c r="J43" s="186">
        <f t="shared" si="5"/>
        <v>0</v>
      </c>
      <c r="K43" s="186">
        <f t="shared" si="5"/>
        <v>0</v>
      </c>
      <c r="L43" s="186">
        <f t="shared" si="5"/>
        <v>0</v>
      </c>
      <c r="M43" s="186">
        <f t="shared" si="5"/>
        <v>0</v>
      </c>
      <c r="N43" s="186">
        <f t="shared" si="5"/>
        <v>0</v>
      </c>
      <c r="O43" s="186">
        <f t="shared" si="5"/>
        <v>0</v>
      </c>
      <c r="P43" s="186">
        <f t="shared" si="5"/>
        <v>0</v>
      </c>
      <c r="Q43" s="186">
        <f t="shared" si="5"/>
        <v>0</v>
      </c>
      <c r="R43" s="186">
        <f t="shared" si="5"/>
        <v>0</v>
      </c>
      <c r="S43" s="186">
        <f t="shared" si="5"/>
        <v>0</v>
      </c>
      <c r="T43" s="186">
        <f t="shared" si="5"/>
        <v>889261</v>
      </c>
      <c r="U43" s="186">
        <f t="shared" si="5"/>
        <v>889261</v>
      </c>
    </row>
    <row r="44" spans="1:21" outlineLevel="2">
      <c r="A44" s="136" t="s">
        <v>228</v>
      </c>
      <c r="B44" s="136" t="s">
        <v>201</v>
      </c>
      <c r="C44" s="136" t="s">
        <v>39</v>
      </c>
      <c r="D44" s="137" t="s">
        <v>423</v>
      </c>
      <c r="E44" s="138">
        <v>2058</v>
      </c>
      <c r="F44" s="136" t="s">
        <v>143</v>
      </c>
      <c r="G44" s="136" t="s">
        <v>36</v>
      </c>
      <c r="H44" s="136" t="s">
        <v>276</v>
      </c>
      <c r="I44" s="139">
        <v>123347</v>
      </c>
      <c r="J44" s="139">
        <v>123347</v>
      </c>
      <c r="K44" s="139">
        <v>133353</v>
      </c>
      <c r="L44" s="139">
        <v>133352</v>
      </c>
      <c r="M44" s="139">
        <v>133352</v>
      </c>
      <c r="N44" s="139">
        <v>133353</v>
      </c>
      <c r="O44" s="139">
        <v>183372</v>
      </c>
      <c r="P44" s="139">
        <v>183372</v>
      </c>
      <c r="Q44" s="139">
        <v>183373</v>
      </c>
      <c r="R44" s="139">
        <v>183372</v>
      </c>
      <c r="S44" s="139">
        <v>143356</v>
      </c>
      <c r="T44" s="139">
        <v>143358</v>
      </c>
      <c r="U44" s="139">
        <f t="shared" ref="U44:U55" si="6">SUM(I44:T44)</f>
        <v>1800307</v>
      </c>
    </row>
    <row r="45" spans="1:21" outlineLevel="2">
      <c r="A45" s="136" t="s">
        <v>228</v>
      </c>
      <c r="B45" s="136" t="s">
        <v>201</v>
      </c>
      <c r="C45" s="136" t="s">
        <v>39</v>
      </c>
      <c r="D45" s="137" t="s">
        <v>411</v>
      </c>
      <c r="E45" s="138">
        <v>2061</v>
      </c>
      <c r="F45" s="136" t="s">
        <v>143</v>
      </c>
      <c r="G45" s="136" t="s">
        <v>347</v>
      </c>
      <c r="H45" s="136" t="s">
        <v>277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f t="shared" si="6"/>
        <v>0</v>
      </c>
    </row>
    <row r="46" spans="1:21" outlineLevel="2">
      <c r="A46" s="136" t="s">
        <v>228</v>
      </c>
      <c r="B46" s="136" t="s">
        <v>201</v>
      </c>
      <c r="C46" s="136" t="s">
        <v>39</v>
      </c>
      <c r="D46" s="137" t="s">
        <v>423</v>
      </c>
      <c r="E46" s="138">
        <v>2237</v>
      </c>
      <c r="F46" s="136" t="s">
        <v>143</v>
      </c>
      <c r="G46" s="136" t="s">
        <v>216</v>
      </c>
      <c r="H46" s="136" t="s">
        <v>278</v>
      </c>
      <c r="I46" s="139">
        <v>25000</v>
      </c>
      <c r="J46" s="139">
        <v>25000</v>
      </c>
      <c r="K46" s="139">
        <v>31250</v>
      </c>
      <c r="L46" s="139">
        <v>31250</v>
      </c>
      <c r="M46" s="139">
        <v>31250</v>
      </c>
      <c r="N46" s="139">
        <v>31250</v>
      </c>
      <c r="O46" s="139">
        <v>62500</v>
      </c>
      <c r="P46" s="139">
        <v>62500</v>
      </c>
      <c r="Q46" s="139">
        <v>62500</v>
      </c>
      <c r="R46" s="139">
        <v>62500</v>
      </c>
      <c r="S46" s="139">
        <v>37500</v>
      </c>
      <c r="T46" s="139">
        <v>37496</v>
      </c>
      <c r="U46" s="139">
        <f t="shared" si="6"/>
        <v>499996</v>
      </c>
    </row>
    <row r="47" spans="1:21" outlineLevel="2">
      <c r="A47" s="136" t="s">
        <v>228</v>
      </c>
      <c r="B47" s="136" t="s">
        <v>201</v>
      </c>
      <c r="C47" s="136" t="s">
        <v>39</v>
      </c>
      <c r="D47" s="137" t="s">
        <v>424</v>
      </c>
      <c r="E47" s="138">
        <v>2289</v>
      </c>
      <c r="F47" s="136" t="s">
        <v>143</v>
      </c>
      <c r="G47" s="136" t="s">
        <v>279</v>
      </c>
      <c r="H47" s="136" t="s">
        <v>278</v>
      </c>
      <c r="I47" s="139">
        <v>83338</v>
      </c>
      <c r="J47" s="139">
        <v>83338</v>
      </c>
      <c r="K47" s="139">
        <v>83339</v>
      </c>
      <c r="L47" s="139">
        <v>83338</v>
      </c>
      <c r="M47" s="139">
        <v>83338</v>
      </c>
      <c r="N47" s="139">
        <v>83339</v>
      </c>
      <c r="O47" s="139">
        <v>83338</v>
      </c>
      <c r="P47" s="139">
        <v>83338</v>
      </c>
      <c r="Q47" s="139">
        <v>958339</v>
      </c>
      <c r="R47" s="139">
        <v>83338</v>
      </c>
      <c r="S47" s="139">
        <v>83338</v>
      </c>
      <c r="T47" s="139">
        <v>233339</v>
      </c>
      <c r="U47" s="139">
        <f t="shared" si="6"/>
        <v>2025060</v>
      </c>
    </row>
    <row r="48" spans="1:21" outlineLevel="2">
      <c r="A48" s="136" t="s">
        <v>228</v>
      </c>
      <c r="B48" s="136" t="s">
        <v>201</v>
      </c>
      <c r="C48" s="136" t="s">
        <v>39</v>
      </c>
      <c r="D48" s="137" t="s">
        <v>415</v>
      </c>
      <c r="E48" s="138">
        <v>2317</v>
      </c>
      <c r="F48" s="136" t="s">
        <v>143</v>
      </c>
      <c r="G48" s="136" t="s">
        <v>352</v>
      </c>
      <c r="H48" s="136" t="s">
        <v>276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f t="shared" si="6"/>
        <v>0</v>
      </c>
    </row>
    <row r="49" spans="1:21" outlineLevel="2">
      <c r="A49" s="136" t="s">
        <v>228</v>
      </c>
      <c r="B49" s="136" t="s">
        <v>201</v>
      </c>
      <c r="C49" s="136" t="s">
        <v>39</v>
      </c>
      <c r="D49" s="137" t="s">
        <v>425</v>
      </c>
      <c r="E49" s="138">
        <v>2443</v>
      </c>
      <c r="F49" s="136" t="s">
        <v>143</v>
      </c>
      <c r="G49" s="136" t="s">
        <v>200</v>
      </c>
      <c r="H49" s="136" t="s">
        <v>276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1900000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126134</v>
      </c>
      <c r="U49" s="139">
        <f t="shared" si="6"/>
        <v>2026134</v>
      </c>
    </row>
    <row r="50" spans="1:21" outlineLevel="2">
      <c r="A50" s="136" t="s">
        <v>228</v>
      </c>
      <c r="B50" s="136" t="s">
        <v>201</v>
      </c>
      <c r="C50" s="136" t="s">
        <v>39</v>
      </c>
      <c r="D50" s="137" t="s">
        <v>419</v>
      </c>
      <c r="E50" s="138">
        <v>2514</v>
      </c>
      <c r="F50" s="136" t="s">
        <v>143</v>
      </c>
      <c r="G50" s="136" t="s">
        <v>151</v>
      </c>
      <c r="H50" s="136" t="s">
        <v>276</v>
      </c>
      <c r="I50" s="139">
        <v>0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2121026</v>
      </c>
      <c r="U50" s="139">
        <f t="shared" si="6"/>
        <v>2121026</v>
      </c>
    </row>
    <row r="51" spans="1:21" outlineLevel="2">
      <c r="A51" s="136" t="s">
        <v>228</v>
      </c>
      <c r="B51" s="136" t="s">
        <v>201</v>
      </c>
      <c r="C51" s="136" t="s">
        <v>39</v>
      </c>
      <c r="D51" s="137" t="s">
        <v>415</v>
      </c>
      <c r="E51" s="138">
        <v>2566</v>
      </c>
      <c r="F51" s="136" t="s">
        <v>143</v>
      </c>
      <c r="G51" s="136" t="s">
        <v>361</v>
      </c>
      <c r="H51" s="136" t="s">
        <v>276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f t="shared" si="6"/>
        <v>0</v>
      </c>
    </row>
    <row r="52" spans="1:21" outlineLevel="2">
      <c r="A52" s="136" t="s">
        <v>228</v>
      </c>
      <c r="B52" s="136" t="s">
        <v>201</v>
      </c>
      <c r="C52" s="136" t="s">
        <v>39</v>
      </c>
      <c r="D52" s="137" t="s">
        <v>415</v>
      </c>
      <c r="E52" s="138">
        <v>2567</v>
      </c>
      <c r="F52" s="136" t="s">
        <v>143</v>
      </c>
      <c r="G52" s="136" t="s">
        <v>362</v>
      </c>
      <c r="H52" s="136" t="s">
        <v>276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f t="shared" si="6"/>
        <v>0</v>
      </c>
    </row>
    <row r="53" spans="1:21" outlineLevel="2">
      <c r="A53" s="136" t="s">
        <v>228</v>
      </c>
      <c r="B53" s="136" t="s">
        <v>201</v>
      </c>
      <c r="C53" s="136" t="s">
        <v>39</v>
      </c>
      <c r="D53" s="137" t="s">
        <v>415</v>
      </c>
      <c r="E53" s="138">
        <v>2569</v>
      </c>
      <c r="F53" s="136" t="s">
        <v>143</v>
      </c>
      <c r="G53" s="136" t="s">
        <v>363</v>
      </c>
      <c r="H53" s="136" t="s">
        <v>276</v>
      </c>
      <c r="I53" s="139">
        <v>0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1107800</v>
      </c>
      <c r="S53" s="139">
        <v>99291</v>
      </c>
      <c r="T53" s="139">
        <v>0</v>
      </c>
      <c r="U53" s="139">
        <f t="shared" si="6"/>
        <v>1207091</v>
      </c>
    </row>
    <row r="54" spans="1:21" outlineLevel="2">
      <c r="A54" s="136" t="s">
        <v>228</v>
      </c>
      <c r="B54" s="136" t="s">
        <v>201</v>
      </c>
      <c r="C54" s="136" t="s">
        <v>39</v>
      </c>
      <c r="D54" s="137" t="s">
        <v>415</v>
      </c>
      <c r="E54" s="138">
        <v>2590</v>
      </c>
      <c r="F54" s="136" t="s">
        <v>143</v>
      </c>
      <c r="G54" s="136" t="s">
        <v>368</v>
      </c>
      <c r="H54" s="136" t="s">
        <v>276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750000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f t="shared" si="6"/>
        <v>750000</v>
      </c>
    </row>
    <row r="55" spans="1:21" outlineLevel="2">
      <c r="A55" s="136" t="s">
        <v>228</v>
      </c>
      <c r="B55" s="136" t="s">
        <v>201</v>
      </c>
      <c r="C55" s="136" t="s">
        <v>39</v>
      </c>
      <c r="D55" s="137" t="s">
        <v>426</v>
      </c>
      <c r="E55" s="138">
        <v>7108</v>
      </c>
      <c r="F55" s="136" t="s">
        <v>142</v>
      </c>
      <c r="G55" s="136" t="s">
        <v>74</v>
      </c>
      <c r="H55" s="136" t="s">
        <v>276</v>
      </c>
      <c r="I55" s="139">
        <v>35614</v>
      </c>
      <c r="J55" s="139">
        <v>35614</v>
      </c>
      <c r="K55" s="139">
        <v>35615</v>
      </c>
      <c r="L55" s="139">
        <v>35614</v>
      </c>
      <c r="M55" s="139">
        <v>35614</v>
      </c>
      <c r="N55" s="139">
        <v>35615</v>
      </c>
      <c r="O55" s="139">
        <v>35614</v>
      </c>
      <c r="P55" s="139">
        <v>35614</v>
      </c>
      <c r="Q55" s="139">
        <v>35615</v>
      </c>
      <c r="R55" s="139">
        <v>35614</v>
      </c>
      <c r="S55" s="139">
        <v>35614</v>
      </c>
      <c r="T55" s="139">
        <v>35615</v>
      </c>
      <c r="U55" s="139">
        <f t="shared" si="6"/>
        <v>427372</v>
      </c>
    </row>
    <row r="56" spans="1:21" outlineLevel="1">
      <c r="A56" s="136"/>
      <c r="B56" s="136"/>
      <c r="C56" s="154" t="s">
        <v>296</v>
      </c>
      <c r="D56" s="137"/>
      <c r="E56" s="138"/>
      <c r="F56" s="136"/>
      <c r="G56" s="136"/>
      <c r="H56" s="136"/>
      <c r="I56" s="186">
        <f t="shared" ref="I56:U56" si="7">SUBTOTAL(9,I44:I55)</f>
        <v>267299</v>
      </c>
      <c r="J56" s="186">
        <f t="shared" si="7"/>
        <v>267299</v>
      </c>
      <c r="K56" s="186">
        <f t="shared" si="7"/>
        <v>283557</v>
      </c>
      <c r="L56" s="186">
        <f t="shared" si="7"/>
        <v>283554</v>
      </c>
      <c r="M56" s="186">
        <f t="shared" si="7"/>
        <v>283554</v>
      </c>
      <c r="N56" s="186">
        <f t="shared" si="7"/>
        <v>2183557</v>
      </c>
      <c r="O56" s="186">
        <f t="shared" si="7"/>
        <v>1114824</v>
      </c>
      <c r="P56" s="186">
        <f t="shared" si="7"/>
        <v>364824</v>
      </c>
      <c r="Q56" s="186">
        <f t="shared" si="7"/>
        <v>1239827</v>
      </c>
      <c r="R56" s="186">
        <f t="shared" si="7"/>
        <v>1472624</v>
      </c>
      <c r="S56" s="186">
        <f t="shared" si="7"/>
        <v>399099</v>
      </c>
      <c r="T56" s="186">
        <f t="shared" si="7"/>
        <v>2696968</v>
      </c>
      <c r="U56" s="186">
        <f t="shared" si="7"/>
        <v>10856986</v>
      </c>
    </row>
    <row r="57" spans="1:21">
      <c r="A57" s="136"/>
      <c r="B57" s="136"/>
      <c r="C57" s="154" t="s">
        <v>126</v>
      </c>
      <c r="D57" s="137"/>
      <c r="E57" s="138"/>
      <c r="F57" s="136"/>
      <c r="G57" s="136"/>
      <c r="H57" s="136"/>
      <c r="I57" s="186">
        <f t="shared" ref="I57:T57" si="8">SUBTOTAL(9,I12:I55)</f>
        <v>4756845.0710000005</v>
      </c>
      <c r="J57" s="186">
        <f t="shared" si="8"/>
        <v>3716585.071</v>
      </c>
      <c r="K57" s="186">
        <f t="shared" si="8"/>
        <v>3859151.2579999999</v>
      </c>
      <c r="L57" s="186">
        <f t="shared" si="8"/>
        <v>3999735.071</v>
      </c>
      <c r="M57" s="186">
        <f t="shared" si="8"/>
        <v>4843751.0710000005</v>
      </c>
      <c r="N57" s="186">
        <f t="shared" si="8"/>
        <v>5980102.2579999994</v>
      </c>
      <c r="O57" s="186">
        <f t="shared" si="8"/>
        <v>5990691.0710000005</v>
      </c>
      <c r="P57" s="186">
        <f t="shared" si="8"/>
        <v>4246816.0710000005</v>
      </c>
      <c r="Q57" s="186">
        <f t="shared" si="8"/>
        <v>5107853.2579999994</v>
      </c>
      <c r="R57" s="186">
        <f t="shared" si="8"/>
        <v>5658048.0710000005</v>
      </c>
      <c r="S57" s="186">
        <f t="shared" si="8"/>
        <v>4315938.0710000005</v>
      </c>
      <c r="T57" s="186">
        <f t="shared" si="8"/>
        <v>15338134.257999999</v>
      </c>
      <c r="U57" s="186">
        <f>SUBTOTAL(9,U12:U55)</f>
        <v>67813650.599999994</v>
      </c>
    </row>
    <row r="58" spans="1:21">
      <c r="A58" s="136"/>
      <c r="B58" s="136"/>
      <c r="C58" s="136"/>
      <c r="D58" s="137"/>
      <c r="E58" s="138"/>
      <c r="F58" s="136"/>
      <c r="G58" s="136"/>
      <c r="H58" s="136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</row>
    <row r="59" spans="1:21" outlineLevel="2">
      <c r="A59" s="136" t="s">
        <v>230</v>
      </c>
      <c r="B59" s="136" t="s">
        <v>201</v>
      </c>
      <c r="C59" s="136" t="s">
        <v>40</v>
      </c>
      <c r="D59" s="137" t="s">
        <v>408</v>
      </c>
      <c r="E59" s="138">
        <v>2000</v>
      </c>
      <c r="F59" s="136" t="s">
        <v>143</v>
      </c>
      <c r="G59" s="136" t="s">
        <v>346</v>
      </c>
      <c r="H59" s="136" t="s">
        <v>276</v>
      </c>
      <c r="I59" s="139">
        <v>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3100000</v>
      </c>
      <c r="R59" s="139">
        <v>0</v>
      </c>
      <c r="S59" s="139">
        <v>0</v>
      </c>
      <c r="T59" s="139">
        <v>0</v>
      </c>
      <c r="U59" s="139">
        <f t="shared" ref="U59:U86" si="9">SUM(I59:T59)</f>
        <v>3100000</v>
      </c>
    </row>
    <row r="60" spans="1:21" outlineLevel="2">
      <c r="A60" s="136" t="s">
        <v>230</v>
      </c>
      <c r="B60" s="136" t="s">
        <v>201</v>
      </c>
      <c r="C60" s="136" t="s">
        <v>40</v>
      </c>
      <c r="D60" s="137" t="s">
        <v>408</v>
      </c>
      <c r="E60" s="138">
        <v>2001</v>
      </c>
      <c r="F60" s="136" t="s">
        <v>143</v>
      </c>
      <c r="G60" s="136" t="s">
        <v>32</v>
      </c>
      <c r="H60" s="136" t="s">
        <v>276</v>
      </c>
      <c r="I60" s="139">
        <v>0</v>
      </c>
      <c r="J60" s="139">
        <v>0</v>
      </c>
      <c r="K60" s="139">
        <v>160000</v>
      </c>
      <c r="L60" s="139">
        <v>0</v>
      </c>
      <c r="M60" s="139">
        <v>160000</v>
      </c>
      <c r="N60" s="139">
        <v>0</v>
      </c>
      <c r="O60" s="139">
        <v>0</v>
      </c>
      <c r="P60" s="139">
        <v>0</v>
      </c>
      <c r="Q60" s="139">
        <v>320000</v>
      </c>
      <c r="R60" s="139">
        <v>0</v>
      </c>
      <c r="S60" s="139">
        <v>160000</v>
      </c>
      <c r="T60" s="139">
        <v>0</v>
      </c>
      <c r="U60" s="139">
        <f t="shared" si="9"/>
        <v>800000</v>
      </c>
    </row>
    <row r="61" spans="1:21" outlineLevel="2">
      <c r="A61" s="136" t="s">
        <v>230</v>
      </c>
      <c r="B61" s="136" t="s">
        <v>201</v>
      </c>
      <c r="C61" s="136" t="s">
        <v>40</v>
      </c>
      <c r="D61" s="137" t="s">
        <v>412</v>
      </c>
      <c r="E61" s="138">
        <v>2051</v>
      </c>
      <c r="F61" s="136" t="s">
        <v>143</v>
      </c>
      <c r="G61" s="136" t="s">
        <v>214</v>
      </c>
      <c r="H61" s="136" t="s">
        <v>276</v>
      </c>
      <c r="I61" s="139">
        <v>129071</v>
      </c>
      <c r="J61" s="139">
        <v>95949</v>
      </c>
      <c r="K61" s="139">
        <v>77596</v>
      </c>
      <c r="L61" s="139">
        <v>71835</v>
      </c>
      <c r="M61" s="139">
        <v>65779</v>
      </c>
      <c r="N61" s="139">
        <v>62307</v>
      </c>
      <c r="O61" s="139">
        <v>82590</v>
      </c>
      <c r="P61" s="139">
        <v>60402</v>
      </c>
      <c r="Q61" s="139">
        <v>69452</v>
      </c>
      <c r="R61" s="139">
        <v>80802</v>
      </c>
      <c r="S61" s="139">
        <v>96955</v>
      </c>
      <c r="T61" s="139">
        <v>107262</v>
      </c>
      <c r="U61" s="139">
        <f t="shared" si="9"/>
        <v>1000000</v>
      </c>
    </row>
    <row r="62" spans="1:21" outlineLevel="2">
      <c r="A62" s="136" t="s">
        <v>230</v>
      </c>
      <c r="B62" s="136" t="s">
        <v>201</v>
      </c>
      <c r="C62" s="136" t="s">
        <v>40</v>
      </c>
      <c r="D62" s="137" t="s">
        <v>427</v>
      </c>
      <c r="E62" s="138">
        <v>2057</v>
      </c>
      <c r="F62" s="136" t="s">
        <v>143</v>
      </c>
      <c r="G62" s="136" t="s">
        <v>35</v>
      </c>
      <c r="H62" s="136" t="s">
        <v>276</v>
      </c>
      <c r="I62" s="139">
        <v>66197</v>
      </c>
      <c r="J62" s="139">
        <v>66197</v>
      </c>
      <c r="K62" s="139">
        <v>88380</v>
      </c>
      <c r="L62" s="139">
        <v>88380</v>
      </c>
      <c r="M62" s="139">
        <v>166024</v>
      </c>
      <c r="N62" s="139">
        <v>166024</v>
      </c>
      <c r="O62" s="139">
        <v>166024</v>
      </c>
      <c r="P62" s="139">
        <v>180813</v>
      </c>
      <c r="Q62" s="139">
        <v>180813</v>
      </c>
      <c r="R62" s="139">
        <v>180813</v>
      </c>
      <c r="S62" s="139">
        <v>77289</v>
      </c>
      <c r="T62" s="139">
        <v>62501</v>
      </c>
      <c r="U62" s="139">
        <f t="shared" si="9"/>
        <v>1489455</v>
      </c>
    </row>
    <row r="63" spans="1:21" outlineLevel="2">
      <c r="A63" s="136" t="s">
        <v>230</v>
      </c>
      <c r="B63" s="136" t="s">
        <v>201</v>
      </c>
      <c r="C63" s="136" t="s">
        <v>40</v>
      </c>
      <c r="D63" s="137" t="s">
        <v>428</v>
      </c>
      <c r="E63" s="138">
        <v>2214</v>
      </c>
      <c r="F63" s="136" t="s">
        <v>143</v>
      </c>
      <c r="G63" s="136" t="s">
        <v>349</v>
      </c>
      <c r="H63" s="136" t="s">
        <v>276</v>
      </c>
      <c r="I63" s="139">
        <v>40953</v>
      </c>
      <c r="J63" s="139">
        <v>40953</v>
      </c>
      <c r="K63" s="139">
        <v>40953</v>
      </c>
      <c r="L63" s="139">
        <v>40953</v>
      </c>
      <c r="M63" s="139">
        <v>40953</v>
      </c>
      <c r="N63" s="139">
        <v>40953</v>
      </c>
      <c r="O63" s="139">
        <v>40953</v>
      </c>
      <c r="P63" s="139">
        <v>40953</v>
      </c>
      <c r="Q63" s="139">
        <v>40953</v>
      </c>
      <c r="R63" s="139">
        <v>40953</v>
      </c>
      <c r="S63" s="139">
        <v>40953</v>
      </c>
      <c r="T63" s="139">
        <v>40953</v>
      </c>
      <c r="U63" s="139">
        <f t="shared" si="9"/>
        <v>491436</v>
      </c>
    </row>
    <row r="64" spans="1:21" outlineLevel="2">
      <c r="A64" s="136" t="s">
        <v>230</v>
      </c>
      <c r="B64" s="136" t="s">
        <v>201</v>
      </c>
      <c r="C64" s="136" t="s">
        <v>40</v>
      </c>
      <c r="D64" s="137" t="s">
        <v>416</v>
      </c>
      <c r="E64" s="138">
        <v>2215</v>
      </c>
      <c r="F64" s="136" t="s">
        <v>143</v>
      </c>
      <c r="G64" s="136" t="s">
        <v>241</v>
      </c>
      <c r="H64" s="136" t="s">
        <v>276</v>
      </c>
      <c r="I64" s="139">
        <v>0</v>
      </c>
      <c r="J64" s="139">
        <v>0</v>
      </c>
      <c r="K64" s="139">
        <v>0</v>
      </c>
      <c r="L64" s="139">
        <v>100000</v>
      </c>
      <c r="M64" s="139">
        <v>0</v>
      </c>
      <c r="N64" s="139">
        <v>0</v>
      </c>
      <c r="O64" s="139">
        <v>0</v>
      </c>
      <c r="P64" s="139">
        <v>100000</v>
      </c>
      <c r="Q64" s="139">
        <v>0</v>
      </c>
      <c r="R64" s="139">
        <v>100000</v>
      </c>
      <c r="S64" s="139">
        <v>100000</v>
      </c>
      <c r="T64" s="139">
        <v>0</v>
      </c>
      <c r="U64" s="139">
        <f t="shared" si="9"/>
        <v>400000</v>
      </c>
    </row>
    <row r="65" spans="1:21" outlineLevel="2">
      <c r="A65" s="136" t="s">
        <v>230</v>
      </c>
      <c r="B65" s="136" t="s">
        <v>201</v>
      </c>
      <c r="C65" s="136" t="s">
        <v>40</v>
      </c>
      <c r="D65" s="137" t="s">
        <v>429</v>
      </c>
      <c r="E65" s="138">
        <v>2217</v>
      </c>
      <c r="F65" s="136" t="s">
        <v>143</v>
      </c>
      <c r="G65" s="136" t="s">
        <v>45</v>
      </c>
      <c r="H65" s="136" t="s">
        <v>278</v>
      </c>
      <c r="I65" s="139">
        <v>0</v>
      </c>
      <c r="J65" s="139">
        <v>0</v>
      </c>
      <c r="K65" s="139">
        <v>0</v>
      </c>
      <c r="L65" s="139">
        <v>0</v>
      </c>
      <c r="M65" s="139">
        <v>1000000</v>
      </c>
      <c r="N65" s="139">
        <v>0</v>
      </c>
      <c r="O65" s="139">
        <v>0</v>
      </c>
      <c r="P65" s="139">
        <v>0</v>
      </c>
      <c r="Q65" s="139">
        <v>525000</v>
      </c>
      <c r="R65" s="139">
        <v>0</v>
      </c>
      <c r="S65" s="139">
        <v>0</v>
      </c>
      <c r="T65" s="139">
        <v>0</v>
      </c>
      <c r="U65" s="139">
        <f t="shared" si="9"/>
        <v>1525000</v>
      </c>
    </row>
    <row r="66" spans="1:21" outlineLevel="2">
      <c r="A66" s="136" t="s">
        <v>230</v>
      </c>
      <c r="B66" s="136" t="s">
        <v>201</v>
      </c>
      <c r="C66" s="136" t="s">
        <v>40</v>
      </c>
      <c r="D66" s="137" t="s">
        <v>416</v>
      </c>
      <c r="E66" s="138">
        <v>2252</v>
      </c>
      <c r="F66" s="136" t="s">
        <v>143</v>
      </c>
      <c r="G66" s="136" t="s">
        <v>198</v>
      </c>
      <c r="H66" s="136" t="s">
        <v>276</v>
      </c>
      <c r="I66" s="139">
        <v>0</v>
      </c>
      <c r="J66" s="139">
        <v>0</v>
      </c>
      <c r="K66" s="139">
        <v>75000</v>
      </c>
      <c r="L66" s="139">
        <v>0</v>
      </c>
      <c r="M66" s="139">
        <v>0</v>
      </c>
      <c r="N66" s="139">
        <v>75000</v>
      </c>
      <c r="O66" s="139">
        <v>0</v>
      </c>
      <c r="P66" s="139">
        <v>0</v>
      </c>
      <c r="Q66" s="139">
        <v>75000</v>
      </c>
      <c r="R66" s="139">
        <v>50000</v>
      </c>
      <c r="S66" s="139">
        <v>0</v>
      </c>
      <c r="T66" s="139">
        <v>75000</v>
      </c>
      <c r="U66" s="139">
        <f t="shared" si="9"/>
        <v>350000</v>
      </c>
    </row>
    <row r="67" spans="1:21" outlineLevel="2">
      <c r="A67" s="136" t="s">
        <v>230</v>
      </c>
      <c r="B67" s="136" t="s">
        <v>201</v>
      </c>
      <c r="C67" s="136" t="s">
        <v>40</v>
      </c>
      <c r="D67" s="137" t="s">
        <v>427</v>
      </c>
      <c r="E67" s="138">
        <v>2254</v>
      </c>
      <c r="F67" s="136" t="s">
        <v>143</v>
      </c>
      <c r="G67" s="136" t="s">
        <v>47</v>
      </c>
      <c r="H67" s="136" t="s">
        <v>276</v>
      </c>
      <c r="I67" s="139">
        <v>1100</v>
      </c>
      <c r="J67" s="139">
        <v>1100</v>
      </c>
      <c r="K67" s="139">
        <v>7700</v>
      </c>
      <c r="L67" s="139">
        <v>7700</v>
      </c>
      <c r="M67" s="139">
        <v>30800</v>
      </c>
      <c r="N67" s="139">
        <v>30800</v>
      </c>
      <c r="O67" s="139">
        <v>30800</v>
      </c>
      <c r="P67" s="139">
        <v>35200</v>
      </c>
      <c r="Q67" s="139">
        <v>35200</v>
      </c>
      <c r="R67" s="139">
        <v>35200</v>
      </c>
      <c r="S67" s="139">
        <v>4400</v>
      </c>
      <c r="T67" s="139">
        <v>0</v>
      </c>
      <c r="U67" s="139">
        <f t="shared" si="9"/>
        <v>220000</v>
      </c>
    </row>
    <row r="68" spans="1:21" outlineLevel="2">
      <c r="A68" s="136" t="s">
        <v>230</v>
      </c>
      <c r="B68" s="136" t="s">
        <v>201</v>
      </c>
      <c r="C68" s="136" t="s">
        <v>40</v>
      </c>
      <c r="D68" s="137" t="s">
        <v>416</v>
      </c>
      <c r="E68" s="138">
        <v>2280</v>
      </c>
      <c r="F68" s="136" t="s">
        <v>143</v>
      </c>
      <c r="G68" s="136" t="s">
        <v>146</v>
      </c>
      <c r="H68" s="136" t="s">
        <v>276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50000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f t="shared" si="9"/>
        <v>50000</v>
      </c>
    </row>
    <row r="69" spans="1:21" outlineLevel="2">
      <c r="A69" s="136" t="s">
        <v>230</v>
      </c>
      <c r="B69" s="136" t="s">
        <v>201</v>
      </c>
      <c r="C69" s="136" t="s">
        <v>40</v>
      </c>
      <c r="D69" s="137" t="s">
        <v>416</v>
      </c>
      <c r="E69" s="138">
        <v>2294</v>
      </c>
      <c r="F69" s="136" t="s">
        <v>143</v>
      </c>
      <c r="G69" s="136" t="s">
        <v>148</v>
      </c>
      <c r="H69" s="136" t="s">
        <v>276</v>
      </c>
      <c r="I69" s="139">
        <v>25000</v>
      </c>
      <c r="J69" s="139">
        <v>0</v>
      </c>
      <c r="K69" s="139">
        <v>12500</v>
      </c>
      <c r="L69" s="139">
        <v>25000</v>
      </c>
      <c r="M69" s="139">
        <v>0</v>
      </c>
      <c r="N69" s="139">
        <v>12500</v>
      </c>
      <c r="O69" s="139">
        <v>25000</v>
      </c>
      <c r="P69" s="139">
        <v>0</v>
      </c>
      <c r="Q69" s="139">
        <v>12500</v>
      </c>
      <c r="R69" s="139">
        <v>25000</v>
      </c>
      <c r="S69" s="139">
        <v>0</v>
      </c>
      <c r="T69" s="139">
        <v>12500</v>
      </c>
      <c r="U69" s="139">
        <f t="shared" si="9"/>
        <v>150000</v>
      </c>
    </row>
    <row r="70" spans="1:21" outlineLevel="2">
      <c r="A70" s="136" t="s">
        <v>230</v>
      </c>
      <c r="B70" s="136" t="s">
        <v>201</v>
      </c>
      <c r="C70" s="136" t="s">
        <v>40</v>
      </c>
      <c r="D70" s="137" t="s">
        <v>49</v>
      </c>
      <c r="E70" s="138">
        <v>2301</v>
      </c>
      <c r="F70" s="136" t="s">
        <v>143</v>
      </c>
      <c r="G70" s="136" t="s">
        <v>49</v>
      </c>
      <c r="H70" s="136" t="s">
        <v>277</v>
      </c>
      <c r="I70" s="139">
        <v>119148</v>
      </c>
      <c r="J70" s="139">
        <v>119148</v>
      </c>
      <c r="K70" s="139">
        <v>119150</v>
      </c>
      <c r="L70" s="139">
        <v>119148</v>
      </c>
      <c r="M70" s="139">
        <v>119148</v>
      </c>
      <c r="N70" s="139">
        <v>119150</v>
      </c>
      <c r="O70" s="139">
        <v>119148</v>
      </c>
      <c r="P70" s="139">
        <v>119148</v>
      </c>
      <c r="Q70" s="139">
        <v>119150</v>
      </c>
      <c r="R70" s="139">
        <v>119148</v>
      </c>
      <c r="S70" s="139">
        <v>119148</v>
      </c>
      <c r="T70" s="139">
        <v>119150</v>
      </c>
      <c r="U70" s="139">
        <f t="shared" si="9"/>
        <v>1429784</v>
      </c>
    </row>
    <row r="71" spans="1:21" outlineLevel="2">
      <c r="A71" s="136" t="s">
        <v>230</v>
      </c>
      <c r="B71" s="136" t="s">
        <v>201</v>
      </c>
      <c r="C71" s="136" t="s">
        <v>40</v>
      </c>
      <c r="D71" s="137" t="s">
        <v>416</v>
      </c>
      <c r="E71" s="138">
        <v>2449</v>
      </c>
      <c r="F71" s="136" t="s">
        <v>143</v>
      </c>
      <c r="G71" s="136" t="s">
        <v>51</v>
      </c>
      <c r="H71" s="136" t="s">
        <v>276</v>
      </c>
      <c r="I71" s="139">
        <v>33333</v>
      </c>
      <c r="J71" s="139">
        <v>0</v>
      </c>
      <c r="K71" s="139">
        <v>33334</v>
      </c>
      <c r="L71" s="139">
        <v>0</v>
      </c>
      <c r="M71" s="139">
        <v>33333</v>
      </c>
      <c r="N71" s="139">
        <v>0</v>
      </c>
      <c r="O71" s="139">
        <v>33333</v>
      </c>
      <c r="P71" s="139">
        <v>0</v>
      </c>
      <c r="Q71" s="139">
        <v>33334</v>
      </c>
      <c r="R71" s="139">
        <v>0</v>
      </c>
      <c r="S71" s="139">
        <v>33333</v>
      </c>
      <c r="T71" s="139">
        <v>0</v>
      </c>
      <c r="U71" s="139">
        <f t="shared" si="9"/>
        <v>200000</v>
      </c>
    </row>
    <row r="72" spans="1:21" outlineLevel="2">
      <c r="A72" s="136" t="s">
        <v>230</v>
      </c>
      <c r="B72" s="136" t="s">
        <v>201</v>
      </c>
      <c r="C72" s="136" t="s">
        <v>40</v>
      </c>
      <c r="D72" s="137" t="s">
        <v>430</v>
      </c>
      <c r="E72" s="138">
        <v>2474</v>
      </c>
      <c r="F72" s="136" t="s">
        <v>143</v>
      </c>
      <c r="G72" s="136" t="s">
        <v>355</v>
      </c>
      <c r="H72" s="136" t="s">
        <v>278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f t="shared" si="9"/>
        <v>0</v>
      </c>
    </row>
    <row r="73" spans="1:21" outlineLevel="2">
      <c r="A73" s="136" t="s">
        <v>230</v>
      </c>
      <c r="B73" s="136" t="s">
        <v>201</v>
      </c>
      <c r="C73" s="136" t="s">
        <v>40</v>
      </c>
      <c r="D73" s="137" t="s">
        <v>416</v>
      </c>
      <c r="E73" s="138">
        <v>2481</v>
      </c>
      <c r="F73" s="136" t="s">
        <v>143</v>
      </c>
      <c r="G73" s="136" t="s">
        <v>0</v>
      </c>
      <c r="H73" s="136" t="s">
        <v>276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f t="shared" si="9"/>
        <v>0</v>
      </c>
    </row>
    <row r="74" spans="1:21" outlineLevel="2">
      <c r="A74" s="136" t="s">
        <v>230</v>
      </c>
      <c r="B74" s="136" t="s">
        <v>201</v>
      </c>
      <c r="C74" s="136" t="s">
        <v>40</v>
      </c>
      <c r="D74" s="137" t="s">
        <v>416</v>
      </c>
      <c r="E74" s="138">
        <v>2492</v>
      </c>
      <c r="F74" s="136" t="s">
        <v>143</v>
      </c>
      <c r="G74" s="136" t="s">
        <v>1</v>
      </c>
      <c r="H74" s="136" t="s">
        <v>276</v>
      </c>
      <c r="I74" s="139">
        <v>0</v>
      </c>
      <c r="J74" s="139">
        <v>0</v>
      </c>
      <c r="K74" s="139">
        <v>50000</v>
      </c>
      <c r="L74" s="139">
        <v>0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f t="shared" si="9"/>
        <v>50000</v>
      </c>
    </row>
    <row r="75" spans="1:21" outlineLevel="2">
      <c r="A75" s="136" t="s">
        <v>230</v>
      </c>
      <c r="B75" s="136" t="s">
        <v>201</v>
      </c>
      <c r="C75" s="136" t="s">
        <v>40</v>
      </c>
      <c r="D75" s="137" t="s">
        <v>431</v>
      </c>
      <c r="E75" s="138">
        <v>2531</v>
      </c>
      <c r="F75" s="136" t="s">
        <v>143</v>
      </c>
      <c r="G75" s="136" t="s">
        <v>357</v>
      </c>
      <c r="H75" s="136" t="s">
        <v>278</v>
      </c>
      <c r="I75" s="139">
        <v>0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f t="shared" si="9"/>
        <v>0</v>
      </c>
    </row>
    <row r="76" spans="1:21" outlineLevel="2">
      <c r="A76" s="136" t="s">
        <v>230</v>
      </c>
      <c r="B76" s="136" t="s">
        <v>201</v>
      </c>
      <c r="C76" s="136" t="s">
        <v>40</v>
      </c>
      <c r="D76" s="137" t="s">
        <v>432</v>
      </c>
      <c r="E76" s="138">
        <v>2532</v>
      </c>
      <c r="F76" s="136" t="s">
        <v>143</v>
      </c>
      <c r="G76" s="136" t="s">
        <v>358</v>
      </c>
      <c r="H76" s="136" t="s">
        <v>278</v>
      </c>
      <c r="I76" s="139">
        <v>0</v>
      </c>
      <c r="J76" s="139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0</v>
      </c>
      <c r="P76" s="139">
        <v>0</v>
      </c>
      <c r="Q76" s="139">
        <v>7800000</v>
      </c>
      <c r="R76" s="139">
        <v>0</v>
      </c>
      <c r="S76" s="139">
        <v>0</v>
      </c>
      <c r="T76" s="139">
        <v>525000</v>
      </c>
      <c r="U76" s="139">
        <f t="shared" si="9"/>
        <v>8325000</v>
      </c>
    </row>
    <row r="77" spans="1:21" outlineLevel="2">
      <c r="A77" s="136" t="s">
        <v>230</v>
      </c>
      <c r="B77" s="136" t="s">
        <v>201</v>
      </c>
      <c r="C77" s="136" t="s">
        <v>40</v>
      </c>
      <c r="D77" s="137" t="s">
        <v>418</v>
      </c>
      <c r="E77" s="138">
        <v>2550</v>
      </c>
      <c r="F77" s="136" t="s">
        <v>143</v>
      </c>
      <c r="G77" s="136" t="s">
        <v>218</v>
      </c>
      <c r="H77" s="136" t="s">
        <v>276</v>
      </c>
      <c r="I77" s="139">
        <v>0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f t="shared" si="9"/>
        <v>0</v>
      </c>
    </row>
    <row r="78" spans="1:21" outlineLevel="2">
      <c r="A78" s="136" t="s">
        <v>230</v>
      </c>
      <c r="B78" s="136" t="s">
        <v>201</v>
      </c>
      <c r="C78" s="136" t="s">
        <v>40</v>
      </c>
      <c r="D78" s="137" t="s">
        <v>418</v>
      </c>
      <c r="E78" s="138">
        <v>2556</v>
      </c>
      <c r="F78" s="136" t="s">
        <v>143</v>
      </c>
      <c r="G78" s="136" t="s">
        <v>359</v>
      </c>
      <c r="H78" s="136" t="s">
        <v>278</v>
      </c>
      <c r="I78" s="139">
        <v>0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f t="shared" si="9"/>
        <v>0</v>
      </c>
    </row>
    <row r="79" spans="1:21" outlineLevel="2">
      <c r="A79" s="136" t="s">
        <v>230</v>
      </c>
      <c r="B79" s="136" t="s">
        <v>201</v>
      </c>
      <c r="C79" s="136" t="s">
        <v>40</v>
      </c>
      <c r="D79" s="137" t="s">
        <v>418</v>
      </c>
      <c r="E79" s="138">
        <v>2557</v>
      </c>
      <c r="F79" s="136" t="s">
        <v>143</v>
      </c>
      <c r="G79" s="136" t="s">
        <v>360</v>
      </c>
      <c r="H79" s="136" t="s">
        <v>276</v>
      </c>
      <c r="I79" s="139">
        <v>0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f t="shared" si="9"/>
        <v>0</v>
      </c>
    </row>
    <row r="80" spans="1:21" outlineLevel="2">
      <c r="A80" s="136" t="s">
        <v>230</v>
      </c>
      <c r="B80" s="136" t="s">
        <v>201</v>
      </c>
      <c r="C80" s="136" t="s">
        <v>40</v>
      </c>
      <c r="D80" s="137" t="s">
        <v>418</v>
      </c>
      <c r="E80" s="138">
        <v>2564</v>
      </c>
      <c r="F80" s="136" t="s">
        <v>143</v>
      </c>
      <c r="G80" s="136" t="s">
        <v>245</v>
      </c>
      <c r="H80" s="136" t="s">
        <v>278</v>
      </c>
      <c r="I80" s="139">
        <v>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3947144</v>
      </c>
      <c r="U80" s="139">
        <f t="shared" si="9"/>
        <v>3947144</v>
      </c>
    </row>
    <row r="81" spans="1:21" outlineLevel="2">
      <c r="A81" s="136" t="s">
        <v>230</v>
      </c>
      <c r="B81" s="136" t="s">
        <v>201</v>
      </c>
      <c r="C81" s="136" t="s">
        <v>40</v>
      </c>
      <c r="D81" s="137" t="s">
        <v>433</v>
      </c>
      <c r="E81" s="138">
        <v>2571</v>
      </c>
      <c r="F81" s="136" t="s">
        <v>143</v>
      </c>
      <c r="G81" s="136" t="s">
        <v>283</v>
      </c>
      <c r="H81" s="136" t="s">
        <v>278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500000</v>
      </c>
      <c r="S81" s="139">
        <v>0</v>
      </c>
      <c r="T81" s="139">
        <v>0</v>
      </c>
      <c r="U81" s="139">
        <f t="shared" si="9"/>
        <v>500000</v>
      </c>
    </row>
    <row r="82" spans="1:21" outlineLevel="2">
      <c r="A82" s="136" t="s">
        <v>230</v>
      </c>
      <c r="B82" s="136" t="s">
        <v>201</v>
      </c>
      <c r="C82" s="136" t="s">
        <v>40</v>
      </c>
      <c r="D82" s="137" t="s">
        <v>415</v>
      </c>
      <c r="E82" s="138">
        <v>2573</v>
      </c>
      <c r="F82" s="136" t="s">
        <v>143</v>
      </c>
      <c r="G82" s="136" t="s">
        <v>284</v>
      </c>
      <c r="H82" s="136" t="s">
        <v>276</v>
      </c>
      <c r="I82" s="139">
        <v>0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f t="shared" si="9"/>
        <v>0</v>
      </c>
    </row>
    <row r="83" spans="1:21" outlineLevel="2">
      <c r="A83" s="136" t="s">
        <v>230</v>
      </c>
      <c r="B83" s="136" t="s">
        <v>201</v>
      </c>
      <c r="C83" s="136" t="s">
        <v>40</v>
      </c>
      <c r="D83" s="137" t="s">
        <v>418</v>
      </c>
      <c r="E83" s="138">
        <v>2577</v>
      </c>
      <c r="F83" s="136" t="s">
        <v>143</v>
      </c>
      <c r="G83" s="136" t="s">
        <v>364</v>
      </c>
      <c r="H83" s="136" t="s">
        <v>276</v>
      </c>
      <c r="I83" s="139">
        <v>0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7815802</v>
      </c>
      <c r="U83" s="139">
        <f t="shared" si="9"/>
        <v>7815802</v>
      </c>
    </row>
    <row r="84" spans="1:21" outlineLevel="2">
      <c r="A84" s="136" t="s">
        <v>230</v>
      </c>
      <c r="B84" s="136" t="s">
        <v>201</v>
      </c>
      <c r="C84" s="136" t="s">
        <v>40</v>
      </c>
      <c r="D84" s="137" t="s">
        <v>434</v>
      </c>
      <c r="E84" s="138">
        <v>2579</v>
      </c>
      <c r="F84" s="136" t="s">
        <v>143</v>
      </c>
      <c r="G84" s="136" t="s">
        <v>285</v>
      </c>
      <c r="H84" s="136" t="s">
        <v>276</v>
      </c>
      <c r="I84" s="139">
        <v>0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500000</v>
      </c>
      <c r="U84" s="139">
        <f t="shared" si="9"/>
        <v>500000</v>
      </c>
    </row>
    <row r="85" spans="1:21" outlineLevel="2">
      <c r="A85" s="136" t="s">
        <v>230</v>
      </c>
      <c r="B85" s="136" t="s">
        <v>201</v>
      </c>
      <c r="C85" s="136" t="s">
        <v>40</v>
      </c>
      <c r="D85" s="137" t="s">
        <v>435</v>
      </c>
      <c r="E85" s="138">
        <v>2581</v>
      </c>
      <c r="F85" s="136" t="s">
        <v>143</v>
      </c>
      <c r="G85" s="136" t="s">
        <v>286</v>
      </c>
      <c r="H85" s="136" t="s">
        <v>276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3294000</v>
      </c>
      <c r="U85" s="139">
        <f t="shared" si="9"/>
        <v>3294000</v>
      </c>
    </row>
    <row r="86" spans="1:21" outlineLevel="2">
      <c r="A86" s="136" t="s">
        <v>230</v>
      </c>
      <c r="B86" s="136" t="s">
        <v>201</v>
      </c>
      <c r="C86" s="136" t="s">
        <v>40</v>
      </c>
      <c r="D86" s="137" t="s">
        <v>422</v>
      </c>
      <c r="E86" s="138">
        <v>6101</v>
      </c>
      <c r="F86" s="136" t="s">
        <v>135</v>
      </c>
      <c r="G86" s="136" t="s">
        <v>66</v>
      </c>
      <c r="H86" s="136" t="s">
        <v>277</v>
      </c>
      <c r="I86" s="139">
        <v>0</v>
      </c>
      <c r="J86" s="139">
        <v>0</v>
      </c>
      <c r="K86" s="139">
        <v>25000</v>
      </c>
      <c r="L86" s="139">
        <v>0</v>
      </c>
      <c r="M86" s="139">
        <v>0</v>
      </c>
      <c r="N86" s="139">
        <v>25000</v>
      </c>
      <c r="O86" s="139">
        <v>0</v>
      </c>
      <c r="P86" s="139">
        <v>0</v>
      </c>
      <c r="Q86" s="139">
        <v>25000</v>
      </c>
      <c r="R86" s="139">
        <v>0</v>
      </c>
      <c r="S86" s="139">
        <v>0</v>
      </c>
      <c r="T86" s="139">
        <v>25000</v>
      </c>
      <c r="U86" s="139">
        <f t="shared" si="9"/>
        <v>100000</v>
      </c>
    </row>
    <row r="87" spans="1:21" outlineLevel="1">
      <c r="A87" s="136"/>
      <c r="B87" s="136"/>
      <c r="C87" s="155" t="s">
        <v>294</v>
      </c>
      <c r="D87" s="137"/>
      <c r="E87" s="138"/>
      <c r="F87" s="136"/>
      <c r="G87" s="136"/>
      <c r="H87" s="136"/>
      <c r="I87" s="186">
        <f t="shared" ref="I87:U87" si="10">SUBTOTAL(9,I59:I86)</f>
        <v>414802</v>
      </c>
      <c r="J87" s="186">
        <f t="shared" si="10"/>
        <v>323347</v>
      </c>
      <c r="K87" s="186">
        <f t="shared" si="10"/>
        <v>689613</v>
      </c>
      <c r="L87" s="186">
        <f t="shared" si="10"/>
        <v>453016</v>
      </c>
      <c r="M87" s="186">
        <f t="shared" si="10"/>
        <v>1616037</v>
      </c>
      <c r="N87" s="186">
        <f t="shared" si="10"/>
        <v>581734</v>
      </c>
      <c r="O87" s="186">
        <f t="shared" si="10"/>
        <v>497848</v>
      </c>
      <c r="P87" s="186">
        <f t="shared" si="10"/>
        <v>536516</v>
      </c>
      <c r="Q87" s="186">
        <f t="shared" si="10"/>
        <v>12336402</v>
      </c>
      <c r="R87" s="186">
        <f t="shared" si="10"/>
        <v>1131916</v>
      </c>
      <c r="S87" s="186">
        <f t="shared" si="10"/>
        <v>632078</v>
      </c>
      <c r="T87" s="186">
        <f t="shared" si="10"/>
        <v>16524312</v>
      </c>
      <c r="U87" s="186">
        <f t="shared" si="10"/>
        <v>35737621</v>
      </c>
    </row>
    <row r="88" spans="1:21" outlineLevel="2">
      <c r="A88" s="136" t="s">
        <v>230</v>
      </c>
      <c r="B88" s="136" t="s">
        <v>201</v>
      </c>
      <c r="C88" s="136" t="s">
        <v>46</v>
      </c>
      <c r="D88" s="137" t="s">
        <v>425</v>
      </c>
      <c r="E88" s="138">
        <v>2274</v>
      </c>
      <c r="F88" s="136" t="s">
        <v>143</v>
      </c>
      <c r="G88" s="136" t="s">
        <v>350</v>
      </c>
      <c r="H88" s="136" t="s">
        <v>276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0</v>
      </c>
      <c r="U88" s="139">
        <f>SUM(I88:T88)</f>
        <v>0</v>
      </c>
    </row>
    <row r="89" spans="1:21" outlineLevel="2">
      <c r="A89" s="136" t="s">
        <v>230</v>
      </c>
      <c r="B89" s="136" t="s">
        <v>201</v>
      </c>
      <c r="C89" s="136" t="s">
        <v>46</v>
      </c>
      <c r="D89" s="137" t="s">
        <v>436</v>
      </c>
      <c r="E89" s="138">
        <v>2580</v>
      </c>
      <c r="F89" s="136" t="s">
        <v>143</v>
      </c>
      <c r="G89" s="136" t="s">
        <v>365</v>
      </c>
      <c r="H89" s="136" t="s">
        <v>278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f>SUM(I89:T89)</f>
        <v>0</v>
      </c>
    </row>
    <row r="90" spans="1:21" outlineLevel="1">
      <c r="A90" s="136"/>
      <c r="B90" s="136"/>
      <c r="C90" s="154" t="s">
        <v>295</v>
      </c>
      <c r="D90" s="137"/>
      <c r="E90" s="138"/>
      <c r="F90" s="136"/>
      <c r="G90" s="136"/>
      <c r="H90" s="136"/>
      <c r="I90" s="186">
        <f t="shared" ref="I90:U90" si="11">SUBTOTAL(9,I88:I89)</f>
        <v>0</v>
      </c>
      <c r="J90" s="186">
        <f t="shared" si="11"/>
        <v>0</v>
      </c>
      <c r="K90" s="186">
        <f t="shared" si="11"/>
        <v>0</v>
      </c>
      <c r="L90" s="186">
        <f t="shared" si="11"/>
        <v>0</v>
      </c>
      <c r="M90" s="186">
        <f t="shared" si="11"/>
        <v>0</v>
      </c>
      <c r="N90" s="186">
        <f t="shared" si="11"/>
        <v>0</v>
      </c>
      <c r="O90" s="186">
        <f t="shared" si="11"/>
        <v>0</v>
      </c>
      <c r="P90" s="186">
        <f t="shared" si="11"/>
        <v>0</v>
      </c>
      <c r="Q90" s="186">
        <f t="shared" si="11"/>
        <v>0</v>
      </c>
      <c r="R90" s="186">
        <f t="shared" si="11"/>
        <v>0</v>
      </c>
      <c r="S90" s="186">
        <f t="shared" si="11"/>
        <v>0</v>
      </c>
      <c r="T90" s="186">
        <f t="shared" si="11"/>
        <v>0</v>
      </c>
      <c r="U90" s="186">
        <f t="shared" si="11"/>
        <v>0</v>
      </c>
    </row>
    <row r="91" spans="1:21" outlineLevel="2">
      <c r="A91" s="136" t="s">
        <v>230</v>
      </c>
      <c r="B91" s="136" t="s">
        <v>201</v>
      </c>
      <c r="C91" s="136" t="s">
        <v>39</v>
      </c>
      <c r="D91" s="137" t="s">
        <v>418</v>
      </c>
      <c r="E91" s="138">
        <v>2310</v>
      </c>
      <c r="F91" s="136" t="s">
        <v>143</v>
      </c>
      <c r="G91" s="136" t="s">
        <v>351</v>
      </c>
      <c r="H91" s="136" t="s">
        <v>276</v>
      </c>
      <c r="I91" s="139">
        <v>0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f>SUM(I91:T91)</f>
        <v>0</v>
      </c>
    </row>
    <row r="92" spans="1:21" outlineLevel="2">
      <c r="A92" s="136" t="s">
        <v>230</v>
      </c>
      <c r="B92" s="136" t="s">
        <v>201</v>
      </c>
      <c r="C92" s="136" t="s">
        <v>39</v>
      </c>
      <c r="D92" s="137" t="s">
        <v>415</v>
      </c>
      <c r="E92" s="138">
        <v>2341</v>
      </c>
      <c r="F92" s="136" t="s">
        <v>143</v>
      </c>
      <c r="G92" s="136" t="s">
        <v>353</v>
      </c>
      <c r="H92" s="136" t="s">
        <v>276</v>
      </c>
      <c r="I92" s="139">
        <v>0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274999</v>
      </c>
      <c r="U92" s="139">
        <f>SUM(I92:T92)</f>
        <v>274999</v>
      </c>
    </row>
    <row r="93" spans="1:21" outlineLevel="2">
      <c r="A93" s="136" t="s">
        <v>230</v>
      </c>
      <c r="B93" s="136" t="s">
        <v>201</v>
      </c>
      <c r="C93" s="136" t="s">
        <v>39</v>
      </c>
      <c r="D93" s="137" t="s">
        <v>430</v>
      </c>
      <c r="E93" s="138">
        <v>2446</v>
      </c>
      <c r="F93" s="136" t="s">
        <v>143</v>
      </c>
      <c r="G93" s="136" t="s">
        <v>150</v>
      </c>
      <c r="H93" s="136" t="s">
        <v>278</v>
      </c>
      <c r="I93" s="139">
        <v>0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500000</v>
      </c>
      <c r="U93" s="139">
        <f>SUM(I93:T93)</f>
        <v>500000</v>
      </c>
    </row>
    <row r="94" spans="1:21" outlineLevel="2">
      <c r="A94" s="136" t="s">
        <v>230</v>
      </c>
      <c r="B94" s="136" t="s">
        <v>201</v>
      </c>
      <c r="C94" s="136" t="s">
        <v>39</v>
      </c>
      <c r="D94" s="137" t="s">
        <v>418</v>
      </c>
      <c r="E94" s="138">
        <v>2457</v>
      </c>
      <c r="F94" s="136" t="s">
        <v>143</v>
      </c>
      <c r="G94" s="136" t="s">
        <v>280</v>
      </c>
      <c r="H94" s="136" t="s">
        <v>278</v>
      </c>
      <c r="I94" s="139">
        <v>0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f>SUM(I94:T94)</f>
        <v>0</v>
      </c>
    </row>
    <row r="95" spans="1:21" outlineLevel="2">
      <c r="A95" s="136" t="s">
        <v>230</v>
      </c>
      <c r="B95" s="136" t="s">
        <v>201</v>
      </c>
      <c r="C95" s="136" t="s">
        <v>39</v>
      </c>
      <c r="D95" s="137" t="s">
        <v>430</v>
      </c>
      <c r="E95" s="138">
        <v>2552</v>
      </c>
      <c r="F95" s="136" t="s">
        <v>143</v>
      </c>
      <c r="G95" s="136" t="s">
        <v>219</v>
      </c>
      <c r="H95" s="136" t="s">
        <v>278</v>
      </c>
      <c r="I95" s="139">
        <v>0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2300000</v>
      </c>
      <c r="T95" s="139">
        <v>99999</v>
      </c>
      <c r="U95" s="139">
        <f>SUM(I95:T95)</f>
        <v>2399999</v>
      </c>
    </row>
    <row r="96" spans="1:21" outlineLevel="1">
      <c r="A96" s="136"/>
      <c r="B96" s="136"/>
      <c r="C96" s="154" t="s">
        <v>296</v>
      </c>
      <c r="D96" s="137"/>
      <c r="E96" s="138"/>
      <c r="F96" s="136"/>
      <c r="G96" s="136"/>
      <c r="H96" s="136"/>
      <c r="I96" s="186">
        <f t="shared" ref="I96:U96" si="12">SUBTOTAL(9,I91:I95)</f>
        <v>0</v>
      </c>
      <c r="J96" s="186">
        <f t="shared" si="12"/>
        <v>0</v>
      </c>
      <c r="K96" s="186">
        <f t="shared" si="12"/>
        <v>0</v>
      </c>
      <c r="L96" s="186">
        <f t="shared" si="12"/>
        <v>0</v>
      </c>
      <c r="M96" s="186">
        <f t="shared" si="12"/>
        <v>0</v>
      </c>
      <c r="N96" s="186">
        <f t="shared" si="12"/>
        <v>0</v>
      </c>
      <c r="O96" s="186">
        <f t="shared" si="12"/>
        <v>0</v>
      </c>
      <c r="P96" s="186">
        <f t="shared" si="12"/>
        <v>0</v>
      </c>
      <c r="Q96" s="186">
        <f t="shared" si="12"/>
        <v>0</v>
      </c>
      <c r="R96" s="186">
        <f t="shared" si="12"/>
        <v>0</v>
      </c>
      <c r="S96" s="186">
        <f t="shared" si="12"/>
        <v>2300000</v>
      </c>
      <c r="T96" s="186">
        <f t="shared" si="12"/>
        <v>874998</v>
      </c>
      <c r="U96" s="186">
        <f t="shared" si="12"/>
        <v>3174998</v>
      </c>
    </row>
    <row r="97" spans="1:40">
      <c r="A97" s="136"/>
      <c r="B97" s="136"/>
      <c r="C97" s="154" t="s">
        <v>126</v>
      </c>
      <c r="D97" s="137"/>
      <c r="E97" s="138"/>
      <c r="F97" s="136"/>
      <c r="G97" s="136"/>
      <c r="H97" s="136"/>
      <c r="I97" s="186">
        <f t="shared" ref="I97:U97" si="13">SUBTOTAL(9,I59:I95)</f>
        <v>414802</v>
      </c>
      <c r="J97" s="186">
        <f t="shared" si="13"/>
        <v>323347</v>
      </c>
      <c r="K97" s="186">
        <f t="shared" si="13"/>
        <v>689613</v>
      </c>
      <c r="L97" s="186">
        <f t="shared" si="13"/>
        <v>453016</v>
      </c>
      <c r="M97" s="186">
        <f t="shared" si="13"/>
        <v>1616037</v>
      </c>
      <c r="N97" s="186">
        <f t="shared" si="13"/>
        <v>581734</v>
      </c>
      <c r="O97" s="186">
        <f t="shared" si="13"/>
        <v>497848</v>
      </c>
      <c r="P97" s="186">
        <f t="shared" si="13"/>
        <v>536516</v>
      </c>
      <c r="Q97" s="186">
        <f t="shared" si="13"/>
        <v>12336402</v>
      </c>
      <c r="R97" s="186">
        <f t="shared" si="13"/>
        <v>1131916</v>
      </c>
      <c r="S97" s="186">
        <f t="shared" si="13"/>
        <v>2932078</v>
      </c>
      <c r="T97" s="186">
        <f t="shared" si="13"/>
        <v>17399310</v>
      </c>
      <c r="U97" s="186">
        <f t="shared" si="13"/>
        <v>38912619</v>
      </c>
    </row>
    <row r="98" spans="1:40">
      <c r="A98" s="136"/>
      <c r="B98" s="136"/>
      <c r="C98" s="136"/>
      <c r="D98" s="137"/>
      <c r="E98" s="138"/>
      <c r="F98" s="136"/>
      <c r="G98" s="136"/>
      <c r="H98" s="136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</row>
    <row r="99" spans="1:40" outlineLevel="2">
      <c r="A99" s="136" t="s">
        <v>231</v>
      </c>
      <c r="B99" s="136" t="s">
        <v>202</v>
      </c>
      <c r="C99" s="136" t="s">
        <v>41</v>
      </c>
      <c r="D99" s="137" t="s">
        <v>407</v>
      </c>
      <c r="E99" s="138">
        <v>1050</v>
      </c>
      <c r="F99" s="136" t="s">
        <v>139</v>
      </c>
      <c r="G99" s="136" t="s">
        <v>28</v>
      </c>
      <c r="H99" s="136" t="s">
        <v>277</v>
      </c>
      <c r="I99" s="139">
        <f>I236*$V$236</f>
        <v>161523.64799999999</v>
      </c>
      <c r="J99" s="139">
        <f t="shared" ref="J99:T99" si="14">J236*$V$236</f>
        <v>54619.199999999997</v>
      </c>
      <c r="K99" s="139">
        <f t="shared" si="14"/>
        <v>54619.775999999998</v>
      </c>
      <c r="L99" s="139">
        <f t="shared" si="14"/>
        <v>161523.64799999999</v>
      </c>
      <c r="M99" s="139">
        <f t="shared" si="14"/>
        <v>54619.199999999997</v>
      </c>
      <c r="N99" s="139">
        <f t="shared" si="14"/>
        <v>54619.775999999998</v>
      </c>
      <c r="O99" s="139">
        <f t="shared" si="14"/>
        <v>161523.64799999999</v>
      </c>
      <c r="P99" s="139">
        <f t="shared" si="14"/>
        <v>54619.199999999997</v>
      </c>
      <c r="Q99" s="139">
        <f t="shared" si="14"/>
        <v>54619.775999999998</v>
      </c>
      <c r="R99" s="139">
        <f t="shared" si="14"/>
        <v>161523.64799999999</v>
      </c>
      <c r="S99" s="139">
        <f t="shared" si="14"/>
        <v>54619.199999999997</v>
      </c>
      <c r="T99" s="139">
        <f t="shared" si="14"/>
        <v>54620.927999999993</v>
      </c>
      <c r="U99" s="139">
        <f t="shared" ref="U99:U113" si="15">SUM(I99:T99)</f>
        <v>1083051.6479999998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</row>
    <row r="100" spans="1:40" outlineLevel="2">
      <c r="A100" s="136" t="s">
        <v>231</v>
      </c>
      <c r="B100" s="136" t="s">
        <v>202</v>
      </c>
      <c r="C100" s="136" t="s">
        <v>41</v>
      </c>
      <c r="D100" s="137" t="s">
        <v>407</v>
      </c>
      <c r="E100" s="138">
        <v>1051</v>
      </c>
      <c r="F100" s="136" t="s">
        <v>139</v>
      </c>
      <c r="G100" s="136" t="s">
        <v>29</v>
      </c>
      <c r="H100" s="136" t="s">
        <v>277</v>
      </c>
      <c r="I100" s="139">
        <f>I237*$V$237</f>
        <v>15819.839999999998</v>
      </c>
      <c r="J100" s="139">
        <f t="shared" ref="J100:T100" si="16">J237*$V$237</f>
        <v>15819.839999999998</v>
      </c>
      <c r="K100" s="139">
        <f t="shared" si="16"/>
        <v>15820.415999999999</v>
      </c>
      <c r="L100" s="139">
        <f t="shared" si="16"/>
        <v>15819.839999999998</v>
      </c>
      <c r="M100" s="139">
        <f t="shared" si="16"/>
        <v>15819.839999999998</v>
      </c>
      <c r="N100" s="139">
        <f t="shared" si="16"/>
        <v>15820.415999999999</v>
      </c>
      <c r="O100" s="139">
        <f t="shared" si="16"/>
        <v>15819.839999999998</v>
      </c>
      <c r="P100" s="139">
        <f t="shared" si="16"/>
        <v>15819.839999999998</v>
      </c>
      <c r="Q100" s="139">
        <f t="shared" si="16"/>
        <v>15820.415999999999</v>
      </c>
      <c r="R100" s="139">
        <f t="shared" si="16"/>
        <v>15819.839999999998</v>
      </c>
      <c r="S100" s="139">
        <f t="shared" si="16"/>
        <v>15819.839999999998</v>
      </c>
      <c r="T100" s="139">
        <f t="shared" si="16"/>
        <v>15820.415999999999</v>
      </c>
      <c r="U100" s="139">
        <f t="shared" si="15"/>
        <v>189840.38399999999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</row>
    <row r="101" spans="1:40" outlineLevel="2">
      <c r="A101" s="136" t="s">
        <v>231</v>
      </c>
      <c r="B101" s="136" t="s">
        <v>202</v>
      </c>
      <c r="C101" s="136" t="s">
        <v>41</v>
      </c>
      <c r="D101" s="137" t="s">
        <v>407</v>
      </c>
      <c r="E101" s="138">
        <v>1053</v>
      </c>
      <c r="F101" s="136" t="s">
        <v>139</v>
      </c>
      <c r="G101" s="136" t="s">
        <v>30</v>
      </c>
      <c r="H101" s="136" t="s">
        <v>277</v>
      </c>
      <c r="I101" s="139">
        <f>I238*$V$238</f>
        <v>32560.127999999997</v>
      </c>
      <c r="J101" s="139">
        <f t="shared" ref="J101:T101" si="17">J238*$V$238</f>
        <v>32560.127999999997</v>
      </c>
      <c r="K101" s="139">
        <f t="shared" si="17"/>
        <v>32560.127999999997</v>
      </c>
      <c r="L101" s="139">
        <f t="shared" si="17"/>
        <v>32560.127999999997</v>
      </c>
      <c r="M101" s="139">
        <f t="shared" si="17"/>
        <v>32560.127999999997</v>
      </c>
      <c r="N101" s="139">
        <f t="shared" si="17"/>
        <v>32560.127999999997</v>
      </c>
      <c r="O101" s="139">
        <f t="shared" si="17"/>
        <v>32560.127999999997</v>
      </c>
      <c r="P101" s="139">
        <f t="shared" si="17"/>
        <v>32560.127999999997</v>
      </c>
      <c r="Q101" s="139">
        <f t="shared" si="17"/>
        <v>32560.127999999997</v>
      </c>
      <c r="R101" s="139">
        <f t="shared" si="17"/>
        <v>32560.127999999997</v>
      </c>
      <c r="S101" s="139">
        <f t="shared" si="17"/>
        <v>32560.127999999997</v>
      </c>
      <c r="T101" s="139">
        <f t="shared" si="17"/>
        <v>32558.399999999998</v>
      </c>
      <c r="U101" s="139">
        <f t="shared" si="15"/>
        <v>390719.80800000008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</row>
    <row r="102" spans="1:40" outlineLevel="2">
      <c r="A102" s="136" t="s">
        <v>231</v>
      </c>
      <c r="B102" s="136" t="s">
        <v>202</v>
      </c>
      <c r="C102" s="136" t="s">
        <v>41</v>
      </c>
      <c r="D102" s="137" t="s">
        <v>437</v>
      </c>
      <c r="E102" s="138">
        <v>3000</v>
      </c>
      <c r="F102" s="136" t="s">
        <v>137</v>
      </c>
      <c r="G102" s="136" t="s">
        <v>52</v>
      </c>
      <c r="H102" s="136" t="s">
        <v>276</v>
      </c>
      <c r="I102" s="139">
        <v>67722</v>
      </c>
      <c r="J102" s="139">
        <v>56232</v>
      </c>
      <c r="K102" s="139">
        <v>66424</v>
      </c>
      <c r="L102" s="139">
        <v>73760</v>
      </c>
      <c r="M102" s="139">
        <v>80903</v>
      </c>
      <c r="N102" s="139">
        <v>102625</v>
      </c>
      <c r="O102" s="139">
        <v>115924</v>
      </c>
      <c r="P102" s="139">
        <v>95376</v>
      </c>
      <c r="Q102" s="139">
        <v>96197</v>
      </c>
      <c r="R102" s="139">
        <v>86525</v>
      </c>
      <c r="S102" s="139">
        <v>80891</v>
      </c>
      <c r="T102" s="139">
        <v>77421</v>
      </c>
      <c r="U102" s="139">
        <f t="shared" si="15"/>
        <v>1000000</v>
      </c>
    </row>
    <row r="103" spans="1:40" outlineLevel="2">
      <c r="A103" s="136" t="s">
        <v>231</v>
      </c>
      <c r="B103" s="136" t="s">
        <v>202</v>
      </c>
      <c r="C103" s="136" t="s">
        <v>41</v>
      </c>
      <c r="D103" s="137" t="s">
        <v>438</v>
      </c>
      <c r="E103" s="138">
        <v>3001</v>
      </c>
      <c r="F103" s="136" t="s">
        <v>137</v>
      </c>
      <c r="G103" s="136" t="s">
        <v>53</v>
      </c>
      <c r="H103" s="136" t="s">
        <v>276</v>
      </c>
      <c r="I103" s="139">
        <v>40000</v>
      </c>
      <c r="J103" s="139">
        <v>40000</v>
      </c>
      <c r="K103" s="139">
        <v>60000</v>
      </c>
      <c r="L103" s="139">
        <v>70000</v>
      </c>
      <c r="M103" s="139">
        <v>80000</v>
      </c>
      <c r="N103" s="139">
        <v>120000</v>
      </c>
      <c r="O103" s="139">
        <v>120000</v>
      </c>
      <c r="P103" s="139">
        <v>110000</v>
      </c>
      <c r="Q103" s="139">
        <v>110000</v>
      </c>
      <c r="R103" s="139">
        <v>90000</v>
      </c>
      <c r="S103" s="139">
        <v>80000</v>
      </c>
      <c r="T103" s="139">
        <v>80000</v>
      </c>
      <c r="U103" s="139">
        <f t="shared" si="15"/>
        <v>1000000</v>
      </c>
    </row>
    <row r="104" spans="1:40" outlineLevel="2">
      <c r="A104" s="136" t="s">
        <v>231</v>
      </c>
      <c r="B104" s="136" t="s">
        <v>202</v>
      </c>
      <c r="C104" s="136" t="s">
        <v>41</v>
      </c>
      <c r="D104" s="137" t="s">
        <v>439</v>
      </c>
      <c r="E104" s="138">
        <v>3002</v>
      </c>
      <c r="F104" s="136" t="s">
        <v>137</v>
      </c>
      <c r="G104" s="136" t="s">
        <v>54</v>
      </c>
      <c r="H104" s="136" t="s">
        <v>276</v>
      </c>
      <c r="I104" s="139">
        <v>44590</v>
      </c>
      <c r="J104" s="139">
        <v>39372</v>
      </c>
      <c r="K104" s="139">
        <v>50918</v>
      </c>
      <c r="L104" s="139">
        <v>57708</v>
      </c>
      <c r="M104" s="139">
        <v>64410</v>
      </c>
      <c r="N104" s="139">
        <v>88109</v>
      </c>
      <c r="O104" s="139">
        <v>94149</v>
      </c>
      <c r="P104" s="139">
        <v>81358</v>
      </c>
      <c r="Q104" s="139">
        <v>81731</v>
      </c>
      <c r="R104" s="139">
        <v>70423</v>
      </c>
      <c r="S104" s="139">
        <v>64404</v>
      </c>
      <c r="T104" s="139">
        <v>62829</v>
      </c>
      <c r="U104" s="139">
        <f t="shared" si="15"/>
        <v>800001</v>
      </c>
    </row>
    <row r="105" spans="1:40" outlineLevel="2">
      <c r="A105" s="136" t="s">
        <v>231</v>
      </c>
      <c r="B105" s="136" t="s">
        <v>202</v>
      </c>
      <c r="C105" s="136" t="s">
        <v>41</v>
      </c>
      <c r="D105" s="137" t="s">
        <v>440</v>
      </c>
      <c r="E105" s="138">
        <v>3003</v>
      </c>
      <c r="F105" s="136" t="s">
        <v>137</v>
      </c>
      <c r="G105" s="136" t="s">
        <v>55</v>
      </c>
      <c r="H105" s="136" t="s">
        <v>277</v>
      </c>
      <c r="I105" s="139">
        <v>265849</v>
      </c>
      <c r="J105" s="139">
        <v>243874</v>
      </c>
      <c r="K105" s="139">
        <v>282733</v>
      </c>
      <c r="L105" s="139">
        <v>322376</v>
      </c>
      <c r="M105" s="139">
        <v>394530</v>
      </c>
      <c r="N105" s="139">
        <v>408100</v>
      </c>
      <c r="O105" s="139">
        <v>400668</v>
      </c>
      <c r="P105" s="139">
        <v>434090</v>
      </c>
      <c r="Q105" s="139">
        <v>435659</v>
      </c>
      <c r="R105" s="139">
        <v>431153</v>
      </c>
      <c r="S105" s="139">
        <v>328782</v>
      </c>
      <c r="T105" s="139">
        <v>552186</v>
      </c>
      <c r="U105" s="139">
        <f t="shared" si="15"/>
        <v>4500000</v>
      </c>
    </row>
    <row r="106" spans="1:40" outlineLevel="2">
      <c r="A106" s="136" t="s">
        <v>231</v>
      </c>
      <c r="B106" s="136" t="s">
        <v>202</v>
      </c>
      <c r="C106" s="136" t="s">
        <v>41</v>
      </c>
      <c r="D106" s="137" t="s">
        <v>441</v>
      </c>
      <c r="E106" s="138">
        <v>3004</v>
      </c>
      <c r="F106" s="136" t="s">
        <v>137</v>
      </c>
      <c r="G106" s="136" t="s">
        <v>56</v>
      </c>
      <c r="H106" s="136" t="s">
        <v>277</v>
      </c>
      <c r="I106" s="139">
        <v>43895</v>
      </c>
      <c r="J106" s="139">
        <v>42902</v>
      </c>
      <c r="K106" s="139">
        <v>57555</v>
      </c>
      <c r="L106" s="139">
        <v>66825</v>
      </c>
      <c r="M106" s="139">
        <v>79578</v>
      </c>
      <c r="N106" s="139">
        <v>102000</v>
      </c>
      <c r="O106" s="139">
        <v>99649</v>
      </c>
      <c r="P106" s="139">
        <v>99737</v>
      </c>
      <c r="Q106" s="139">
        <v>99808</v>
      </c>
      <c r="R106" s="139">
        <v>88700</v>
      </c>
      <c r="S106" s="139">
        <v>72577</v>
      </c>
      <c r="T106" s="139">
        <v>96777</v>
      </c>
      <c r="U106" s="139">
        <f t="shared" si="15"/>
        <v>950003</v>
      </c>
    </row>
    <row r="107" spans="1:40" outlineLevel="2">
      <c r="A107" s="136" t="s">
        <v>231</v>
      </c>
      <c r="B107" s="136" t="s">
        <v>202</v>
      </c>
      <c r="C107" s="136" t="s">
        <v>41</v>
      </c>
      <c r="D107" s="137" t="s">
        <v>442</v>
      </c>
      <c r="E107" s="138">
        <v>3005</v>
      </c>
      <c r="F107" s="136" t="s">
        <v>137</v>
      </c>
      <c r="G107" s="136" t="s">
        <v>57</v>
      </c>
      <c r="H107" s="136" t="s">
        <v>276</v>
      </c>
      <c r="I107" s="139">
        <v>416888</v>
      </c>
      <c r="J107" s="139">
        <v>368764</v>
      </c>
      <c r="K107" s="139">
        <v>403274</v>
      </c>
      <c r="L107" s="139">
        <v>445095</v>
      </c>
      <c r="M107" s="139">
        <v>516579</v>
      </c>
      <c r="N107" s="139">
        <v>530161</v>
      </c>
      <c r="O107" s="139">
        <v>555390</v>
      </c>
      <c r="P107" s="139">
        <v>549621</v>
      </c>
      <c r="Q107" s="139">
        <v>553055</v>
      </c>
      <c r="R107" s="139">
        <v>551254</v>
      </c>
      <c r="S107" s="139">
        <v>455586</v>
      </c>
      <c r="T107" s="139">
        <v>654332</v>
      </c>
      <c r="U107" s="139">
        <f t="shared" si="15"/>
        <v>5999999</v>
      </c>
    </row>
    <row r="108" spans="1:40" outlineLevel="2">
      <c r="A108" s="136" t="s">
        <v>231</v>
      </c>
      <c r="B108" s="136" t="s">
        <v>202</v>
      </c>
      <c r="C108" s="136" t="s">
        <v>41</v>
      </c>
      <c r="D108" s="137" t="s">
        <v>443</v>
      </c>
      <c r="E108" s="138">
        <v>3006</v>
      </c>
      <c r="F108" s="136" t="s">
        <v>137</v>
      </c>
      <c r="G108" s="136" t="s">
        <v>5</v>
      </c>
      <c r="H108" s="136" t="s">
        <v>277</v>
      </c>
      <c r="I108" s="139">
        <v>83098</v>
      </c>
      <c r="J108" s="139">
        <v>73206</v>
      </c>
      <c r="K108" s="139">
        <v>71903</v>
      </c>
      <c r="L108" s="139">
        <v>73308</v>
      </c>
      <c r="M108" s="139">
        <v>74798</v>
      </c>
      <c r="N108" s="139">
        <v>72839</v>
      </c>
      <c r="O108" s="139">
        <v>84033</v>
      </c>
      <c r="P108" s="139">
        <v>72016</v>
      </c>
      <c r="Q108" s="139">
        <v>72723</v>
      </c>
      <c r="R108" s="139">
        <v>74727</v>
      </c>
      <c r="S108" s="139">
        <v>74281</v>
      </c>
      <c r="T108" s="139">
        <v>73068</v>
      </c>
      <c r="U108" s="139">
        <f t="shared" si="15"/>
        <v>900000</v>
      </c>
    </row>
    <row r="109" spans="1:40" outlineLevel="2">
      <c r="A109" s="136" t="s">
        <v>231</v>
      </c>
      <c r="B109" s="136" t="s">
        <v>202</v>
      </c>
      <c r="C109" s="136" t="s">
        <v>41</v>
      </c>
      <c r="D109" s="137" t="s">
        <v>444</v>
      </c>
      <c r="E109" s="138">
        <v>3007</v>
      </c>
      <c r="F109" s="136" t="s">
        <v>137</v>
      </c>
      <c r="G109" s="136" t="s">
        <v>204</v>
      </c>
      <c r="H109" s="136" t="s">
        <v>277</v>
      </c>
      <c r="I109" s="139">
        <v>245218</v>
      </c>
      <c r="J109" s="139">
        <v>209989</v>
      </c>
      <c r="K109" s="139">
        <v>226841</v>
      </c>
      <c r="L109" s="139">
        <v>253087</v>
      </c>
      <c r="M109" s="139">
        <v>300982</v>
      </c>
      <c r="N109" s="139">
        <v>294003</v>
      </c>
      <c r="O109" s="139">
        <v>312543</v>
      </c>
      <c r="P109" s="139">
        <v>312406</v>
      </c>
      <c r="Q109" s="139">
        <v>314922</v>
      </c>
      <c r="R109" s="139">
        <v>322061</v>
      </c>
      <c r="S109" s="139">
        <v>256480</v>
      </c>
      <c r="T109" s="139">
        <v>401468</v>
      </c>
      <c r="U109" s="139">
        <f t="shared" si="15"/>
        <v>3450000</v>
      </c>
    </row>
    <row r="110" spans="1:40" outlineLevel="2">
      <c r="A110" s="136" t="s">
        <v>231</v>
      </c>
      <c r="B110" s="136" t="s">
        <v>202</v>
      </c>
      <c r="C110" s="136" t="s">
        <v>41</v>
      </c>
      <c r="D110" s="137" t="s">
        <v>445</v>
      </c>
      <c r="E110" s="138">
        <v>3008</v>
      </c>
      <c r="F110" s="136" t="s">
        <v>137</v>
      </c>
      <c r="G110" s="136" t="s">
        <v>205</v>
      </c>
      <c r="H110" s="136" t="s">
        <v>276</v>
      </c>
      <c r="I110" s="139">
        <v>966908</v>
      </c>
      <c r="J110" s="139">
        <v>905859</v>
      </c>
      <c r="K110" s="139">
        <v>1043178</v>
      </c>
      <c r="L110" s="139">
        <v>1197195</v>
      </c>
      <c r="M110" s="139">
        <v>1497110</v>
      </c>
      <c r="N110" s="139">
        <v>1485015</v>
      </c>
      <c r="O110" s="139">
        <v>1408754</v>
      </c>
      <c r="P110" s="139">
        <v>1625299</v>
      </c>
      <c r="Q110" s="139">
        <v>1629658</v>
      </c>
      <c r="R110" s="139">
        <v>1642032</v>
      </c>
      <c r="S110" s="139">
        <v>1203206</v>
      </c>
      <c r="T110" s="139">
        <v>2213215</v>
      </c>
      <c r="U110" s="139">
        <f t="shared" si="15"/>
        <v>16817429</v>
      </c>
    </row>
    <row r="111" spans="1:40" outlineLevel="2">
      <c r="A111" s="136" t="s">
        <v>231</v>
      </c>
      <c r="B111" s="136" t="s">
        <v>202</v>
      </c>
      <c r="C111" s="136" t="s">
        <v>41</v>
      </c>
      <c r="D111" s="137" t="s">
        <v>316</v>
      </c>
      <c r="E111" s="138">
        <v>3054</v>
      </c>
      <c r="F111" s="136" t="s">
        <v>137</v>
      </c>
      <c r="G111" s="136" t="s">
        <v>316</v>
      </c>
      <c r="H111" s="136" t="s">
        <v>276</v>
      </c>
      <c r="I111" s="139">
        <v>30717</v>
      </c>
      <c r="J111" s="139">
        <v>25016</v>
      </c>
      <c r="K111" s="139">
        <v>27300</v>
      </c>
      <c r="L111" s="139">
        <v>29997</v>
      </c>
      <c r="M111" s="139">
        <v>33487</v>
      </c>
      <c r="N111" s="139">
        <v>36941</v>
      </c>
      <c r="O111" s="139">
        <v>42650</v>
      </c>
      <c r="P111" s="139">
        <v>36064</v>
      </c>
      <c r="Q111" s="139">
        <v>36470</v>
      </c>
      <c r="R111" s="139">
        <v>35336</v>
      </c>
      <c r="S111" s="139">
        <v>31704</v>
      </c>
      <c r="T111" s="139">
        <v>36209</v>
      </c>
      <c r="U111" s="139">
        <f t="shared" si="15"/>
        <v>401891</v>
      </c>
    </row>
    <row r="112" spans="1:40" outlineLevel="2">
      <c r="A112" s="136" t="s">
        <v>231</v>
      </c>
      <c r="B112" s="136" t="s">
        <v>202</v>
      </c>
      <c r="C112" s="136" t="s">
        <v>41</v>
      </c>
      <c r="D112" s="137" t="s">
        <v>446</v>
      </c>
      <c r="E112" s="138">
        <v>3055</v>
      </c>
      <c r="F112" s="136" t="s">
        <v>137</v>
      </c>
      <c r="G112" s="136" t="s">
        <v>317</v>
      </c>
      <c r="H112" s="136" t="s">
        <v>276</v>
      </c>
      <c r="I112" s="139">
        <v>79781</v>
      </c>
      <c r="J112" s="139">
        <v>64280</v>
      </c>
      <c r="K112" s="139">
        <v>70467</v>
      </c>
      <c r="L112" s="139">
        <v>77173</v>
      </c>
      <c r="M112" s="139">
        <v>84802</v>
      </c>
      <c r="N112" s="139">
        <v>96609</v>
      </c>
      <c r="O112" s="139">
        <v>113365</v>
      </c>
      <c r="P112" s="139">
        <v>92389</v>
      </c>
      <c r="Q112" s="139">
        <v>93496</v>
      </c>
      <c r="R112" s="139">
        <v>89198</v>
      </c>
      <c r="S112" s="139">
        <v>82417</v>
      </c>
      <c r="T112" s="139">
        <v>86023</v>
      </c>
      <c r="U112" s="139">
        <f t="shared" si="15"/>
        <v>1030000</v>
      </c>
    </row>
    <row r="113" spans="1:21" outlineLevel="2">
      <c r="A113" s="136" t="s">
        <v>231</v>
      </c>
      <c r="B113" s="136" t="s">
        <v>202</v>
      </c>
      <c r="C113" s="136" t="s">
        <v>41</v>
      </c>
      <c r="D113" s="137" t="s">
        <v>318</v>
      </c>
      <c r="E113" s="138">
        <v>3057</v>
      </c>
      <c r="F113" s="136" t="s">
        <v>137</v>
      </c>
      <c r="G113" s="136" t="s">
        <v>318</v>
      </c>
      <c r="H113" s="136" t="s">
        <v>276</v>
      </c>
      <c r="I113" s="139">
        <v>0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f t="shared" si="15"/>
        <v>0</v>
      </c>
    </row>
    <row r="114" spans="1:21" outlineLevel="1">
      <c r="A114" s="136"/>
      <c r="B114" s="136"/>
      <c r="C114" s="155" t="s">
        <v>297</v>
      </c>
      <c r="D114" s="137"/>
      <c r="E114" s="138"/>
      <c r="F114" s="136"/>
      <c r="G114" s="136"/>
      <c r="H114" s="136"/>
      <c r="I114" s="186">
        <f t="shared" ref="I114:U114" si="18">SUBTOTAL(9,I99:I113)</f>
        <v>2494569.6159999999</v>
      </c>
      <c r="J114" s="186">
        <f t="shared" si="18"/>
        <v>2172493.1680000001</v>
      </c>
      <c r="K114" s="186">
        <f t="shared" si="18"/>
        <v>2463593.3200000003</v>
      </c>
      <c r="L114" s="186">
        <f t="shared" si="18"/>
        <v>2876427.6159999999</v>
      </c>
      <c r="M114" s="186">
        <f t="shared" si="18"/>
        <v>3310178.1680000001</v>
      </c>
      <c r="N114" s="186">
        <f t="shared" si="18"/>
        <v>3439402.3200000003</v>
      </c>
      <c r="O114" s="186">
        <f t="shared" si="18"/>
        <v>3557028.6159999999</v>
      </c>
      <c r="P114" s="186">
        <f t="shared" si="18"/>
        <v>3611355.1680000001</v>
      </c>
      <c r="Q114" s="186">
        <f t="shared" si="18"/>
        <v>3626719.3200000003</v>
      </c>
      <c r="R114" s="186">
        <f t="shared" si="18"/>
        <v>3691312.6159999999</v>
      </c>
      <c r="S114" s="186">
        <f t="shared" si="18"/>
        <v>2833327.1680000001</v>
      </c>
      <c r="T114" s="186">
        <f t="shared" si="18"/>
        <v>4436527.7439999999</v>
      </c>
      <c r="U114" s="186">
        <f t="shared" si="18"/>
        <v>38512934.840000004</v>
      </c>
    </row>
    <row r="115" spans="1:21" outlineLevel="2">
      <c r="A115" s="136" t="s">
        <v>231</v>
      </c>
      <c r="B115" s="136" t="s">
        <v>202</v>
      </c>
      <c r="C115" s="136" t="s">
        <v>40</v>
      </c>
      <c r="D115" s="137" t="s">
        <v>447</v>
      </c>
      <c r="E115" s="138">
        <v>3117</v>
      </c>
      <c r="F115" s="136" t="s">
        <v>137</v>
      </c>
      <c r="G115" s="136" t="s">
        <v>58</v>
      </c>
      <c r="H115" s="136" t="s">
        <v>277</v>
      </c>
      <c r="I115" s="139">
        <v>31842</v>
      </c>
      <c r="J115" s="139">
        <v>26106</v>
      </c>
      <c r="K115" s="139">
        <v>27207</v>
      </c>
      <c r="L115" s="139">
        <v>29877</v>
      </c>
      <c r="M115" s="139">
        <v>34453</v>
      </c>
      <c r="N115" s="139">
        <v>33317</v>
      </c>
      <c r="O115" s="139">
        <v>37953</v>
      </c>
      <c r="P115" s="139">
        <v>34696</v>
      </c>
      <c r="Q115" s="139">
        <v>35106</v>
      </c>
      <c r="R115" s="139">
        <v>36268</v>
      </c>
      <c r="S115" s="139">
        <v>30441</v>
      </c>
      <c r="T115" s="139">
        <v>42734</v>
      </c>
      <c r="U115" s="139">
        <f>SUM(I115:T115)</f>
        <v>400000</v>
      </c>
    </row>
    <row r="116" spans="1:21" outlineLevel="1">
      <c r="A116" s="136"/>
      <c r="B116" s="136"/>
      <c r="C116" s="154" t="s">
        <v>294</v>
      </c>
      <c r="D116" s="137"/>
      <c r="E116" s="138"/>
      <c r="F116" s="136"/>
      <c r="G116" s="136"/>
      <c r="H116" s="136"/>
      <c r="I116" s="186">
        <f t="shared" ref="I116:U116" si="19">SUBTOTAL(9,I115:I115)</f>
        <v>31842</v>
      </c>
      <c r="J116" s="186">
        <f t="shared" si="19"/>
        <v>26106</v>
      </c>
      <c r="K116" s="186">
        <f t="shared" si="19"/>
        <v>27207</v>
      </c>
      <c r="L116" s="186">
        <f t="shared" si="19"/>
        <v>29877</v>
      </c>
      <c r="M116" s="186">
        <f t="shared" si="19"/>
        <v>34453</v>
      </c>
      <c r="N116" s="186">
        <f t="shared" si="19"/>
        <v>33317</v>
      </c>
      <c r="O116" s="186">
        <f t="shared" si="19"/>
        <v>37953</v>
      </c>
      <c r="P116" s="186">
        <f t="shared" si="19"/>
        <v>34696</v>
      </c>
      <c r="Q116" s="186">
        <f t="shared" si="19"/>
        <v>35106</v>
      </c>
      <c r="R116" s="186">
        <f t="shared" si="19"/>
        <v>36268</v>
      </c>
      <c r="S116" s="186">
        <f t="shared" si="19"/>
        <v>30441</v>
      </c>
      <c r="T116" s="186">
        <f t="shared" si="19"/>
        <v>42734</v>
      </c>
      <c r="U116" s="186">
        <f t="shared" si="19"/>
        <v>400000</v>
      </c>
    </row>
    <row r="117" spans="1:21" outlineLevel="2">
      <c r="A117" s="136" t="s">
        <v>231</v>
      </c>
      <c r="B117" s="136" t="s">
        <v>202</v>
      </c>
      <c r="C117" s="136" t="s">
        <v>46</v>
      </c>
      <c r="D117" s="137" t="s">
        <v>448</v>
      </c>
      <c r="E117" s="138">
        <v>3301</v>
      </c>
      <c r="F117" s="136" t="s">
        <v>137</v>
      </c>
      <c r="G117" s="136" t="s">
        <v>322</v>
      </c>
      <c r="H117" s="136" t="s">
        <v>278</v>
      </c>
      <c r="I117" s="139">
        <v>0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f>SUM(I117:T117)</f>
        <v>0</v>
      </c>
    </row>
    <row r="118" spans="1:21" outlineLevel="2">
      <c r="A118" s="136" t="s">
        <v>231</v>
      </c>
      <c r="B118" s="136" t="s">
        <v>202</v>
      </c>
      <c r="C118" s="136" t="s">
        <v>46</v>
      </c>
      <c r="D118" s="137" t="s">
        <v>449</v>
      </c>
      <c r="E118" s="138">
        <v>3305</v>
      </c>
      <c r="F118" s="136" t="s">
        <v>137</v>
      </c>
      <c r="G118" s="136" t="s">
        <v>323</v>
      </c>
      <c r="H118" s="136" t="s">
        <v>278</v>
      </c>
      <c r="I118" s="139">
        <v>0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999998</v>
      </c>
      <c r="S118" s="139">
        <v>0</v>
      </c>
      <c r="T118" s="139">
        <v>0</v>
      </c>
      <c r="U118" s="139">
        <f>SUM(I118:T118)</f>
        <v>999998</v>
      </c>
    </row>
    <row r="119" spans="1:21" outlineLevel="1">
      <c r="A119" s="136"/>
      <c r="B119" s="136"/>
      <c r="C119" s="154" t="s">
        <v>295</v>
      </c>
      <c r="D119" s="137"/>
      <c r="E119" s="138"/>
      <c r="F119" s="136"/>
      <c r="G119" s="136"/>
      <c r="H119" s="136"/>
      <c r="I119" s="186">
        <f t="shared" ref="I119:U119" si="20">SUBTOTAL(9,I117:I118)</f>
        <v>0</v>
      </c>
      <c r="J119" s="186">
        <f t="shared" si="20"/>
        <v>0</v>
      </c>
      <c r="K119" s="186">
        <f t="shared" si="20"/>
        <v>0</v>
      </c>
      <c r="L119" s="186">
        <f t="shared" si="20"/>
        <v>0</v>
      </c>
      <c r="M119" s="186">
        <f t="shared" si="20"/>
        <v>0</v>
      </c>
      <c r="N119" s="186">
        <f t="shared" si="20"/>
        <v>0</v>
      </c>
      <c r="O119" s="186">
        <f t="shared" si="20"/>
        <v>0</v>
      </c>
      <c r="P119" s="186">
        <f t="shared" si="20"/>
        <v>0</v>
      </c>
      <c r="Q119" s="186">
        <f t="shared" si="20"/>
        <v>0</v>
      </c>
      <c r="R119" s="186">
        <f t="shared" si="20"/>
        <v>999998</v>
      </c>
      <c r="S119" s="186">
        <f t="shared" si="20"/>
        <v>0</v>
      </c>
      <c r="T119" s="186">
        <f t="shared" si="20"/>
        <v>0</v>
      </c>
      <c r="U119" s="186">
        <f t="shared" si="20"/>
        <v>999998</v>
      </c>
    </row>
    <row r="120" spans="1:21" outlineLevel="2">
      <c r="A120" s="136" t="s">
        <v>231</v>
      </c>
      <c r="B120" s="136" t="s">
        <v>202</v>
      </c>
      <c r="C120" s="136" t="s">
        <v>59</v>
      </c>
      <c r="D120" s="137" t="s">
        <v>450</v>
      </c>
      <c r="E120" s="138">
        <v>3203</v>
      </c>
      <c r="F120" s="136" t="s">
        <v>137</v>
      </c>
      <c r="G120" s="136" t="s">
        <v>319</v>
      </c>
      <c r="H120" s="136" t="s">
        <v>278</v>
      </c>
      <c r="I120" s="139">
        <v>0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4999907</v>
      </c>
      <c r="T120" s="139">
        <v>0</v>
      </c>
      <c r="U120" s="139">
        <f>SUM(I120:T120)</f>
        <v>4999907</v>
      </c>
    </row>
    <row r="121" spans="1:21" outlineLevel="2">
      <c r="A121" s="136" t="s">
        <v>231</v>
      </c>
      <c r="B121" s="136" t="s">
        <v>202</v>
      </c>
      <c r="C121" s="136" t="s">
        <v>59</v>
      </c>
      <c r="D121" s="137" t="s">
        <v>451</v>
      </c>
      <c r="E121" s="138">
        <v>3209</v>
      </c>
      <c r="F121" s="136" t="s">
        <v>137</v>
      </c>
      <c r="G121" s="136" t="s">
        <v>320</v>
      </c>
      <c r="H121" s="136" t="s">
        <v>287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f>SUM(I121:T121)</f>
        <v>0</v>
      </c>
    </row>
    <row r="122" spans="1:21" outlineLevel="2">
      <c r="A122" s="136" t="s">
        <v>231</v>
      </c>
      <c r="B122" s="136" t="s">
        <v>202</v>
      </c>
      <c r="C122" s="136" t="s">
        <v>59</v>
      </c>
      <c r="D122" s="137" t="s">
        <v>452</v>
      </c>
      <c r="E122" s="138">
        <v>3307</v>
      </c>
      <c r="F122" s="136" t="s">
        <v>137</v>
      </c>
      <c r="G122" s="136" t="s">
        <v>325</v>
      </c>
      <c r="H122" s="136" t="s">
        <v>278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506294</v>
      </c>
      <c r="S122" s="139">
        <v>47096</v>
      </c>
      <c r="T122" s="139">
        <v>47095</v>
      </c>
      <c r="U122" s="139">
        <f>SUM(I122:T122)</f>
        <v>600485</v>
      </c>
    </row>
    <row r="123" spans="1:21" outlineLevel="1">
      <c r="A123" s="136"/>
      <c r="B123" s="136"/>
      <c r="C123" s="154" t="s">
        <v>298</v>
      </c>
      <c r="D123" s="137"/>
      <c r="E123" s="138"/>
      <c r="F123" s="136"/>
      <c r="G123" s="136"/>
      <c r="H123" s="136"/>
      <c r="I123" s="186">
        <f t="shared" ref="I123:U123" si="21">SUBTOTAL(9,I120:I122)</f>
        <v>0</v>
      </c>
      <c r="J123" s="186">
        <f t="shared" si="21"/>
        <v>0</v>
      </c>
      <c r="K123" s="186">
        <f t="shared" si="21"/>
        <v>0</v>
      </c>
      <c r="L123" s="186">
        <f t="shared" si="21"/>
        <v>0</v>
      </c>
      <c r="M123" s="186">
        <f t="shared" si="21"/>
        <v>0</v>
      </c>
      <c r="N123" s="186">
        <f t="shared" si="21"/>
        <v>0</v>
      </c>
      <c r="O123" s="186">
        <f t="shared" si="21"/>
        <v>0</v>
      </c>
      <c r="P123" s="186">
        <f t="shared" si="21"/>
        <v>0</v>
      </c>
      <c r="Q123" s="186">
        <f t="shared" si="21"/>
        <v>0</v>
      </c>
      <c r="R123" s="186">
        <f t="shared" si="21"/>
        <v>506294</v>
      </c>
      <c r="S123" s="186">
        <f t="shared" si="21"/>
        <v>5047003</v>
      </c>
      <c r="T123" s="186">
        <f t="shared" si="21"/>
        <v>47095</v>
      </c>
      <c r="U123" s="186">
        <f t="shared" si="21"/>
        <v>5600392</v>
      </c>
    </row>
    <row r="124" spans="1:21" outlineLevel="2">
      <c r="A124" s="136" t="s">
        <v>231</v>
      </c>
      <c r="B124" s="136" t="s">
        <v>202</v>
      </c>
      <c r="C124" s="136" t="s">
        <v>39</v>
      </c>
      <c r="D124" s="137" t="s">
        <v>453</v>
      </c>
      <c r="E124" s="138">
        <v>3237</v>
      </c>
      <c r="F124" s="136" t="s">
        <v>137</v>
      </c>
      <c r="G124" s="136" t="s">
        <v>321</v>
      </c>
      <c r="H124" s="136" t="s">
        <v>278</v>
      </c>
      <c r="I124" s="139">
        <v>0</v>
      </c>
      <c r="J124" s="139">
        <v>0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f>SUM(I124:T124)</f>
        <v>0</v>
      </c>
    </row>
    <row r="125" spans="1:21" outlineLevel="2">
      <c r="A125" s="136" t="s">
        <v>231</v>
      </c>
      <c r="B125" s="136" t="s">
        <v>202</v>
      </c>
      <c r="C125" s="136" t="s">
        <v>39</v>
      </c>
      <c r="D125" s="137" t="s">
        <v>454</v>
      </c>
      <c r="E125" s="138">
        <v>3306</v>
      </c>
      <c r="F125" s="136" t="s">
        <v>137</v>
      </c>
      <c r="G125" s="136" t="s">
        <v>324</v>
      </c>
      <c r="H125" s="136" t="s">
        <v>278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2955130</v>
      </c>
      <c r="S125" s="139">
        <v>274890</v>
      </c>
      <c r="T125" s="139">
        <v>274891</v>
      </c>
      <c r="U125" s="139">
        <f>SUM(I125:T125)</f>
        <v>3504911</v>
      </c>
    </row>
    <row r="126" spans="1:21" outlineLevel="1">
      <c r="A126" s="136"/>
      <c r="B126" s="136"/>
      <c r="C126" s="154" t="s">
        <v>296</v>
      </c>
      <c r="D126" s="137"/>
      <c r="E126" s="138"/>
      <c r="F126" s="136"/>
      <c r="G126" s="136"/>
      <c r="H126" s="136"/>
      <c r="I126" s="186">
        <f t="shared" ref="I126:U126" si="22">SUBTOTAL(9,I124:I125)</f>
        <v>0</v>
      </c>
      <c r="J126" s="186">
        <f t="shared" si="22"/>
        <v>0</v>
      </c>
      <c r="K126" s="186">
        <f t="shared" si="22"/>
        <v>0</v>
      </c>
      <c r="L126" s="186">
        <f t="shared" si="22"/>
        <v>0</v>
      </c>
      <c r="M126" s="186">
        <f t="shared" si="22"/>
        <v>0</v>
      </c>
      <c r="N126" s="186">
        <f t="shared" si="22"/>
        <v>0</v>
      </c>
      <c r="O126" s="186">
        <f t="shared" si="22"/>
        <v>0</v>
      </c>
      <c r="P126" s="186">
        <f t="shared" si="22"/>
        <v>0</v>
      </c>
      <c r="Q126" s="186">
        <f t="shared" si="22"/>
        <v>0</v>
      </c>
      <c r="R126" s="186">
        <f t="shared" si="22"/>
        <v>2955130</v>
      </c>
      <c r="S126" s="186">
        <f t="shared" si="22"/>
        <v>274890</v>
      </c>
      <c r="T126" s="186">
        <f t="shared" si="22"/>
        <v>274891</v>
      </c>
      <c r="U126" s="186">
        <f t="shared" si="22"/>
        <v>3504911</v>
      </c>
    </row>
    <row r="127" spans="1:21">
      <c r="A127" s="136"/>
      <c r="B127" s="136"/>
      <c r="C127" s="154" t="s">
        <v>126</v>
      </c>
      <c r="D127" s="137"/>
      <c r="E127" s="138"/>
      <c r="F127" s="136"/>
      <c r="G127" s="136"/>
      <c r="H127" s="136"/>
      <c r="I127" s="186">
        <f t="shared" ref="I127:U127" si="23">SUBTOTAL(9,I99:I125)</f>
        <v>2526411.6159999999</v>
      </c>
      <c r="J127" s="186">
        <f t="shared" si="23"/>
        <v>2198599.1680000001</v>
      </c>
      <c r="K127" s="186">
        <f t="shared" si="23"/>
        <v>2490800.3200000003</v>
      </c>
      <c r="L127" s="186">
        <f t="shared" si="23"/>
        <v>2906304.6159999999</v>
      </c>
      <c r="M127" s="186">
        <f t="shared" si="23"/>
        <v>3344631.1680000001</v>
      </c>
      <c r="N127" s="186">
        <f t="shared" si="23"/>
        <v>3472719.3200000003</v>
      </c>
      <c r="O127" s="186">
        <f t="shared" si="23"/>
        <v>3594981.6159999999</v>
      </c>
      <c r="P127" s="186">
        <f t="shared" si="23"/>
        <v>3646051.1680000001</v>
      </c>
      <c r="Q127" s="186">
        <f t="shared" si="23"/>
        <v>3661825.3200000003</v>
      </c>
      <c r="R127" s="186">
        <f t="shared" si="23"/>
        <v>8189002.6160000004</v>
      </c>
      <c r="S127" s="186">
        <f t="shared" si="23"/>
        <v>8185661.1679999996</v>
      </c>
      <c r="T127" s="186">
        <f t="shared" si="23"/>
        <v>4801247.7439999999</v>
      </c>
      <c r="U127" s="186">
        <f t="shared" si="23"/>
        <v>49018235.840000004</v>
      </c>
    </row>
    <row r="128" spans="1:21" outlineLevel="1">
      <c r="A128" s="136"/>
      <c r="B128" s="136"/>
      <c r="C128" s="136"/>
      <c r="D128" s="137"/>
      <c r="E128" s="138"/>
      <c r="F128" s="136"/>
      <c r="G128" s="136"/>
      <c r="H128" s="136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</row>
    <row r="129" spans="1:21" outlineLevel="2">
      <c r="A129" s="136" t="s">
        <v>240</v>
      </c>
      <c r="B129" s="136" t="s">
        <v>202</v>
      </c>
      <c r="C129" s="136" t="s">
        <v>41</v>
      </c>
      <c r="D129" s="137" t="s">
        <v>76</v>
      </c>
      <c r="E129" s="138">
        <v>7201</v>
      </c>
      <c r="F129" s="136" t="s">
        <v>142</v>
      </c>
      <c r="G129" s="136" t="s">
        <v>76</v>
      </c>
      <c r="H129" s="136" t="s">
        <v>276</v>
      </c>
      <c r="I129" s="139">
        <v>53333</v>
      </c>
      <c r="J129" s="139">
        <v>26666</v>
      </c>
      <c r="K129" s="139">
        <v>115000</v>
      </c>
      <c r="L129" s="139">
        <v>36667</v>
      </c>
      <c r="M129" s="139">
        <v>111667</v>
      </c>
      <c r="N129" s="139">
        <v>377766</v>
      </c>
      <c r="O129" s="139">
        <v>324100</v>
      </c>
      <c r="P129" s="139">
        <v>231100</v>
      </c>
      <c r="Q129" s="139">
        <v>3334</v>
      </c>
      <c r="R129" s="139">
        <v>36667</v>
      </c>
      <c r="S129" s="139">
        <v>36667</v>
      </c>
      <c r="T129" s="139">
        <v>3333</v>
      </c>
      <c r="U129" s="139">
        <f>SUM(I129:T129)</f>
        <v>1356300</v>
      </c>
    </row>
    <row r="130" spans="1:21" outlineLevel="1">
      <c r="A130" s="154" t="s">
        <v>289</v>
      </c>
      <c r="B130" s="136"/>
      <c r="C130" s="136"/>
      <c r="D130" s="137"/>
      <c r="E130" s="138"/>
      <c r="F130" s="136"/>
      <c r="G130" s="136"/>
      <c r="H130" s="136"/>
      <c r="I130" s="186">
        <f t="shared" ref="I130:U130" si="24">SUBTOTAL(9,I129:I129)</f>
        <v>53333</v>
      </c>
      <c r="J130" s="186">
        <f t="shared" si="24"/>
        <v>26666</v>
      </c>
      <c r="K130" s="186">
        <f t="shared" si="24"/>
        <v>115000</v>
      </c>
      <c r="L130" s="186">
        <f t="shared" si="24"/>
        <v>36667</v>
      </c>
      <c r="M130" s="186">
        <f t="shared" si="24"/>
        <v>111667</v>
      </c>
      <c r="N130" s="186">
        <f t="shared" si="24"/>
        <v>377766</v>
      </c>
      <c r="O130" s="186">
        <f t="shared" si="24"/>
        <v>324100</v>
      </c>
      <c r="P130" s="186">
        <f t="shared" si="24"/>
        <v>231100</v>
      </c>
      <c r="Q130" s="186">
        <f t="shared" si="24"/>
        <v>3334</v>
      </c>
      <c r="R130" s="186">
        <f t="shared" si="24"/>
        <v>36667</v>
      </c>
      <c r="S130" s="186">
        <f t="shared" si="24"/>
        <v>36667</v>
      </c>
      <c r="T130" s="186">
        <f t="shared" si="24"/>
        <v>3333</v>
      </c>
      <c r="U130" s="186">
        <f t="shared" si="24"/>
        <v>1356300</v>
      </c>
    </row>
    <row r="131" spans="1:21">
      <c r="A131" s="136"/>
      <c r="B131" s="136"/>
      <c r="C131" s="136"/>
      <c r="D131" s="137"/>
      <c r="E131" s="138"/>
      <c r="F131" s="136"/>
      <c r="G131" s="136"/>
      <c r="H131" s="136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</row>
    <row r="132" spans="1:21">
      <c r="A132" s="136" t="s">
        <v>236</v>
      </c>
      <c r="B132" s="136" t="s">
        <v>203</v>
      </c>
      <c r="C132" s="136" t="s">
        <v>41</v>
      </c>
      <c r="D132" s="137" t="s">
        <v>455</v>
      </c>
      <c r="E132" s="138">
        <v>2277</v>
      </c>
      <c r="F132" s="136" t="s">
        <v>143</v>
      </c>
      <c r="G132" s="136" t="s">
        <v>244</v>
      </c>
      <c r="H132" s="136" t="s">
        <v>276</v>
      </c>
      <c r="I132" s="139">
        <v>84999</v>
      </c>
      <c r="J132" s="139">
        <v>84999</v>
      </c>
      <c r="K132" s="139">
        <v>85000</v>
      </c>
      <c r="L132" s="139">
        <v>84999</v>
      </c>
      <c r="M132" s="139">
        <v>84999</v>
      </c>
      <c r="N132" s="139">
        <v>85000</v>
      </c>
      <c r="O132" s="139">
        <v>84999</v>
      </c>
      <c r="P132" s="139">
        <v>84999</v>
      </c>
      <c r="Q132" s="139">
        <v>85000</v>
      </c>
      <c r="R132" s="139">
        <v>84999</v>
      </c>
      <c r="S132" s="139">
        <v>84999</v>
      </c>
      <c r="T132" s="139">
        <v>85007</v>
      </c>
      <c r="U132" s="139">
        <f t="shared" ref="U132:U144" si="25">SUM(I132:T132)</f>
        <v>1019999</v>
      </c>
    </row>
    <row r="133" spans="1:21" outlineLevel="2">
      <c r="A133" s="136" t="s">
        <v>236</v>
      </c>
      <c r="B133" s="136" t="s">
        <v>203</v>
      </c>
      <c r="C133" s="136" t="s">
        <v>41</v>
      </c>
      <c r="D133" s="137" t="s">
        <v>456</v>
      </c>
      <c r="E133" s="138">
        <v>5014</v>
      </c>
      <c r="F133" s="136" t="s">
        <v>140</v>
      </c>
      <c r="G133" s="136" t="s">
        <v>235</v>
      </c>
      <c r="H133" s="136" t="s">
        <v>276</v>
      </c>
      <c r="I133" s="139">
        <v>0</v>
      </c>
      <c r="J133" s="139">
        <v>0</v>
      </c>
      <c r="K133" s="139">
        <v>950000</v>
      </c>
      <c r="L133" s="139">
        <v>0</v>
      </c>
      <c r="M133" s="139">
        <v>0</v>
      </c>
      <c r="N133" s="139">
        <v>950000</v>
      </c>
      <c r="O133" s="139">
        <v>0</v>
      </c>
      <c r="P133" s="139">
        <v>0</v>
      </c>
      <c r="Q133" s="139">
        <v>950000</v>
      </c>
      <c r="R133" s="139">
        <v>0</v>
      </c>
      <c r="S133" s="139">
        <v>0</v>
      </c>
      <c r="T133" s="139">
        <v>950000</v>
      </c>
      <c r="U133" s="139">
        <f t="shared" si="25"/>
        <v>3800000</v>
      </c>
    </row>
    <row r="134" spans="1:21" outlineLevel="2">
      <c r="A134" s="136" t="s">
        <v>236</v>
      </c>
      <c r="B134" s="136" t="s">
        <v>203</v>
      </c>
      <c r="C134" s="136" t="s">
        <v>41</v>
      </c>
      <c r="D134" s="137" t="s">
        <v>457</v>
      </c>
      <c r="E134" s="138">
        <v>5121</v>
      </c>
      <c r="F134" s="136" t="s">
        <v>140</v>
      </c>
      <c r="G134" s="136" t="s">
        <v>141</v>
      </c>
      <c r="H134" s="136" t="s">
        <v>278</v>
      </c>
      <c r="I134" s="139">
        <v>0</v>
      </c>
      <c r="J134" s="139">
        <v>0</v>
      </c>
      <c r="K134" s="139">
        <v>590670</v>
      </c>
      <c r="L134" s="139">
        <v>0</v>
      </c>
      <c r="M134" s="139">
        <v>0</v>
      </c>
      <c r="N134" s="139">
        <v>590670</v>
      </c>
      <c r="O134" s="139">
        <v>0</v>
      </c>
      <c r="P134" s="139">
        <v>0</v>
      </c>
      <c r="Q134" s="139">
        <v>590670</v>
      </c>
      <c r="R134" s="139">
        <v>0</v>
      </c>
      <c r="S134" s="139">
        <v>0</v>
      </c>
      <c r="T134" s="139">
        <v>590670</v>
      </c>
      <c r="U134" s="139">
        <f t="shared" si="25"/>
        <v>2362680</v>
      </c>
    </row>
    <row r="135" spans="1:21" outlineLevel="2">
      <c r="A135" s="136" t="s">
        <v>236</v>
      </c>
      <c r="B135" s="136" t="s">
        <v>203</v>
      </c>
      <c r="C135" s="136" t="s">
        <v>41</v>
      </c>
      <c r="D135" s="137" t="s">
        <v>458</v>
      </c>
      <c r="E135" s="138">
        <v>5146</v>
      </c>
      <c r="F135" s="136" t="s">
        <v>140</v>
      </c>
      <c r="G135" s="136" t="s">
        <v>335</v>
      </c>
      <c r="H135" s="136" t="s">
        <v>278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39">
        <v>0</v>
      </c>
      <c r="R135" s="139">
        <v>0</v>
      </c>
      <c r="S135" s="139">
        <v>0</v>
      </c>
      <c r="T135" s="139">
        <v>0</v>
      </c>
      <c r="U135" s="139">
        <f t="shared" si="25"/>
        <v>0</v>
      </c>
    </row>
    <row r="136" spans="1:21" outlineLevel="2">
      <c r="A136" s="136" t="s">
        <v>236</v>
      </c>
      <c r="B136" s="136" t="s">
        <v>203</v>
      </c>
      <c r="C136" s="136" t="s">
        <v>41</v>
      </c>
      <c r="D136" s="137" t="s">
        <v>459</v>
      </c>
      <c r="E136" s="138">
        <v>7001</v>
      </c>
      <c r="F136" s="136" t="s">
        <v>142</v>
      </c>
      <c r="G136" s="136" t="s">
        <v>70</v>
      </c>
      <c r="H136" s="136" t="s">
        <v>276</v>
      </c>
      <c r="I136" s="139">
        <v>289245</v>
      </c>
      <c r="J136" s="139">
        <v>282705</v>
      </c>
      <c r="K136" s="139">
        <v>281680</v>
      </c>
      <c r="L136" s="139">
        <v>282437</v>
      </c>
      <c r="M136" s="139">
        <v>283087</v>
      </c>
      <c r="N136" s="139">
        <v>281795</v>
      </c>
      <c r="O136" s="139">
        <v>289361</v>
      </c>
      <c r="P136" s="139">
        <v>281080</v>
      </c>
      <c r="Q136" s="139">
        <v>281550</v>
      </c>
      <c r="R136" s="139">
        <v>282873</v>
      </c>
      <c r="S136" s="139">
        <v>283081</v>
      </c>
      <c r="T136" s="139">
        <v>281106</v>
      </c>
      <c r="U136" s="139">
        <f t="shared" si="25"/>
        <v>3400000</v>
      </c>
    </row>
    <row r="137" spans="1:21" outlineLevel="2">
      <c r="A137" s="136" t="s">
        <v>236</v>
      </c>
      <c r="B137" s="136" t="s">
        <v>203</v>
      </c>
      <c r="C137" s="136" t="s">
        <v>41</v>
      </c>
      <c r="D137" s="137" t="s">
        <v>460</v>
      </c>
      <c r="E137" s="138">
        <v>7002</v>
      </c>
      <c r="F137" s="136" t="s">
        <v>142</v>
      </c>
      <c r="G137" s="136" t="s">
        <v>339</v>
      </c>
      <c r="H137" s="136" t="s">
        <v>278</v>
      </c>
      <c r="I137" s="139">
        <v>0</v>
      </c>
      <c r="J137" s="139">
        <v>0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0</v>
      </c>
      <c r="S137" s="139">
        <v>0</v>
      </c>
      <c r="T137" s="139">
        <v>0</v>
      </c>
      <c r="U137" s="139">
        <f t="shared" si="25"/>
        <v>0</v>
      </c>
    </row>
    <row r="138" spans="1:21" outlineLevel="2">
      <c r="A138" s="136" t="s">
        <v>236</v>
      </c>
      <c r="B138" s="136" t="s">
        <v>203</v>
      </c>
      <c r="C138" s="136" t="s">
        <v>41</v>
      </c>
      <c r="D138" s="137" t="s">
        <v>459</v>
      </c>
      <c r="E138" s="138">
        <v>7003</v>
      </c>
      <c r="F138" s="136" t="s">
        <v>142</v>
      </c>
      <c r="G138" s="136" t="s">
        <v>71</v>
      </c>
      <c r="H138" s="136" t="s">
        <v>276</v>
      </c>
      <c r="I138" s="139">
        <v>101189</v>
      </c>
      <c r="J138" s="139">
        <v>99862</v>
      </c>
      <c r="K138" s="139">
        <v>99734</v>
      </c>
      <c r="L138" s="139">
        <v>99846</v>
      </c>
      <c r="M138" s="139">
        <v>99940</v>
      </c>
      <c r="N138" s="139">
        <v>99678</v>
      </c>
      <c r="O138" s="139">
        <v>101213</v>
      </c>
      <c r="P138" s="139">
        <v>99533</v>
      </c>
      <c r="Q138" s="139">
        <v>99629</v>
      </c>
      <c r="R138" s="139">
        <v>99896</v>
      </c>
      <c r="S138" s="139">
        <v>99939</v>
      </c>
      <c r="T138" s="139">
        <v>99541</v>
      </c>
      <c r="U138" s="139">
        <f t="shared" si="25"/>
        <v>1200000</v>
      </c>
    </row>
    <row r="139" spans="1:21" outlineLevel="2">
      <c r="A139" s="136" t="s">
        <v>236</v>
      </c>
      <c r="B139" s="136" t="s">
        <v>203</v>
      </c>
      <c r="C139" s="136" t="s">
        <v>41</v>
      </c>
      <c r="D139" s="137" t="s">
        <v>460</v>
      </c>
      <c r="E139" s="138">
        <v>7005</v>
      </c>
      <c r="F139" s="136" t="s">
        <v>142</v>
      </c>
      <c r="G139" s="136" t="s">
        <v>72</v>
      </c>
      <c r="H139" s="136" t="s">
        <v>276</v>
      </c>
      <c r="I139" s="139">
        <v>54027</v>
      </c>
      <c r="J139" s="139">
        <v>54027</v>
      </c>
      <c r="K139" s="139">
        <v>54028</v>
      </c>
      <c r="L139" s="139">
        <v>54027</v>
      </c>
      <c r="M139" s="139">
        <v>54027</v>
      </c>
      <c r="N139" s="139">
        <v>54028</v>
      </c>
      <c r="O139" s="139">
        <v>54027</v>
      </c>
      <c r="P139" s="139">
        <v>54027</v>
      </c>
      <c r="Q139" s="139">
        <v>54028</v>
      </c>
      <c r="R139" s="139">
        <v>54027</v>
      </c>
      <c r="S139" s="139">
        <v>54027</v>
      </c>
      <c r="T139" s="139">
        <v>54025</v>
      </c>
      <c r="U139" s="139">
        <f t="shared" si="25"/>
        <v>648325</v>
      </c>
    </row>
    <row r="140" spans="1:21" outlineLevel="2">
      <c r="A140" s="136" t="s">
        <v>236</v>
      </c>
      <c r="B140" s="136" t="s">
        <v>203</v>
      </c>
      <c r="C140" s="136" t="s">
        <v>41</v>
      </c>
      <c r="D140" s="137" t="s">
        <v>460</v>
      </c>
      <c r="E140" s="138">
        <v>7006</v>
      </c>
      <c r="F140" s="136" t="s">
        <v>142</v>
      </c>
      <c r="G140" s="136" t="s">
        <v>73</v>
      </c>
      <c r="H140" s="136" t="s">
        <v>276</v>
      </c>
      <c r="I140" s="139">
        <v>283334</v>
      </c>
      <c r="J140" s="139">
        <v>283334</v>
      </c>
      <c r="K140" s="139">
        <v>283332</v>
      </c>
      <c r="L140" s="139">
        <v>0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283334</v>
      </c>
      <c r="S140" s="139">
        <v>283334</v>
      </c>
      <c r="T140" s="139">
        <v>283332</v>
      </c>
      <c r="U140" s="139">
        <f t="shared" si="25"/>
        <v>1700000</v>
      </c>
    </row>
    <row r="141" spans="1:21" outlineLevel="2">
      <c r="A141" s="136" t="s">
        <v>236</v>
      </c>
      <c r="B141" s="136" t="s">
        <v>203</v>
      </c>
      <c r="C141" s="136" t="s">
        <v>41</v>
      </c>
      <c r="D141" s="137" t="s">
        <v>340</v>
      </c>
      <c r="E141" s="138">
        <v>7060</v>
      </c>
      <c r="F141" s="136" t="s">
        <v>142</v>
      </c>
      <c r="G141" s="136" t="s">
        <v>340</v>
      </c>
      <c r="H141" s="136" t="s">
        <v>341</v>
      </c>
      <c r="I141" s="139">
        <v>171873</v>
      </c>
      <c r="J141" s="139">
        <v>171873</v>
      </c>
      <c r="K141" s="139">
        <v>171875</v>
      </c>
      <c r="L141" s="139">
        <v>171873</v>
      </c>
      <c r="M141" s="139">
        <v>171873</v>
      </c>
      <c r="N141" s="139">
        <v>171875</v>
      </c>
      <c r="O141" s="139">
        <v>171873</v>
      </c>
      <c r="P141" s="139">
        <v>171873</v>
      </c>
      <c r="Q141" s="139">
        <v>171875</v>
      </c>
      <c r="R141" s="139">
        <v>171873</v>
      </c>
      <c r="S141" s="139">
        <v>171873</v>
      </c>
      <c r="T141" s="139">
        <v>171875</v>
      </c>
      <c r="U141" s="139">
        <f t="shared" si="25"/>
        <v>2062484</v>
      </c>
    </row>
    <row r="142" spans="1:21" outlineLevel="2">
      <c r="A142" s="136" t="s">
        <v>236</v>
      </c>
      <c r="B142" s="136" t="s">
        <v>203</v>
      </c>
      <c r="C142" s="136" t="s">
        <v>41</v>
      </c>
      <c r="D142" s="137" t="s">
        <v>461</v>
      </c>
      <c r="E142" s="138">
        <v>7101</v>
      </c>
      <c r="F142" s="136" t="s">
        <v>142</v>
      </c>
      <c r="G142" s="136" t="s">
        <v>303</v>
      </c>
      <c r="H142" s="136" t="s">
        <v>278</v>
      </c>
      <c r="I142" s="139">
        <v>0</v>
      </c>
      <c r="J142" s="139">
        <v>0</v>
      </c>
      <c r="K142" s="139">
        <v>0</v>
      </c>
      <c r="L142" s="139">
        <v>0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0</v>
      </c>
      <c r="S142" s="139">
        <v>0</v>
      </c>
      <c r="T142" s="139">
        <v>9250000</v>
      </c>
      <c r="U142" s="139">
        <f t="shared" si="25"/>
        <v>9250000</v>
      </c>
    </row>
    <row r="143" spans="1:21" outlineLevel="2">
      <c r="A143" s="136" t="s">
        <v>236</v>
      </c>
      <c r="B143" s="136" t="s">
        <v>203</v>
      </c>
      <c r="C143" s="136" t="s">
        <v>41</v>
      </c>
      <c r="D143" s="137" t="s">
        <v>462</v>
      </c>
      <c r="E143" s="138">
        <v>7126</v>
      </c>
      <c r="F143" s="136" t="s">
        <v>142</v>
      </c>
      <c r="G143" s="136" t="s">
        <v>239</v>
      </c>
      <c r="H143" s="136" t="s">
        <v>278</v>
      </c>
      <c r="I143" s="139">
        <v>0</v>
      </c>
      <c r="J143" s="139">
        <v>0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0</v>
      </c>
      <c r="S143" s="139">
        <v>0</v>
      </c>
      <c r="T143" s="139">
        <v>8500000</v>
      </c>
      <c r="U143" s="139">
        <f t="shared" si="25"/>
        <v>8500000</v>
      </c>
    </row>
    <row r="144" spans="1:21" outlineLevel="2">
      <c r="A144" s="136" t="s">
        <v>236</v>
      </c>
      <c r="B144" s="136" t="s">
        <v>203</v>
      </c>
      <c r="C144" s="136" t="s">
        <v>41</v>
      </c>
      <c r="D144" s="137" t="s">
        <v>463</v>
      </c>
      <c r="E144" s="138">
        <v>7131</v>
      </c>
      <c r="F144" s="136" t="s">
        <v>142</v>
      </c>
      <c r="G144" s="136" t="s">
        <v>342</v>
      </c>
      <c r="H144" s="136" t="s">
        <v>278</v>
      </c>
      <c r="I144" s="139">
        <v>0</v>
      </c>
      <c r="J144" s="139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0</v>
      </c>
      <c r="S144" s="139">
        <v>0</v>
      </c>
      <c r="T144" s="139">
        <v>2000000</v>
      </c>
      <c r="U144" s="139">
        <f t="shared" si="25"/>
        <v>2000000</v>
      </c>
    </row>
    <row r="145" spans="1:21" outlineLevel="1">
      <c r="A145" s="136"/>
      <c r="B145" s="136"/>
      <c r="C145" s="155" t="s">
        <v>297</v>
      </c>
      <c r="D145" s="137"/>
      <c r="E145" s="138"/>
      <c r="F145" s="136"/>
      <c r="G145" s="136"/>
      <c r="H145" s="136"/>
      <c r="I145" s="186">
        <f t="shared" ref="I145:S145" si="26">SUBTOTAL(9,I132:I144)</f>
        <v>984667</v>
      </c>
      <c r="J145" s="186">
        <f t="shared" si="26"/>
        <v>976800</v>
      </c>
      <c r="K145" s="186">
        <f t="shared" si="26"/>
        <v>2516319</v>
      </c>
      <c r="L145" s="186">
        <f t="shared" si="26"/>
        <v>693182</v>
      </c>
      <c r="M145" s="186">
        <f t="shared" si="26"/>
        <v>693926</v>
      </c>
      <c r="N145" s="186">
        <f t="shared" si="26"/>
        <v>2233046</v>
      </c>
      <c r="O145" s="186">
        <f t="shared" si="26"/>
        <v>701473</v>
      </c>
      <c r="P145" s="186">
        <f t="shared" si="26"/>
        <v>691512</v>
      </c>
      <c r="Q145" s="186">
        <f t="shared" si="26"/>
        <v>2232752</v>
      </c>
      <c r="R145" s="186">
        <f t="shared" si="26"/>
        <v>977002</v>
      </c>
      <c r="S145" s="186">
        <f t="shared" si="26"/>
        <v>977253</v>
      </c>
      <c r="T145" s="186">
        <f>SUBTOTAL(9,T132:T144)</f>
        <v>22265556</v>
      </c>
      <c r="U145" s="186">
        <f>SUBTOTAL(9,U132:U144)</f>
        <v>35943488</v>
      </c>
    </row>
    <row r="146" spans="1:21" outlineLevel="2">
      <c r="A146" s="136" t="s">
        <v>236</v>
      </c>
      <c r="B146" s="136" t="s">
        <v>203</v>
      </c>
      <c r="C146" s="136" t="s">
        <v>40</v>
      </c>
      <c r="D146" s="137" t="s">
        <v>464</v>
      </c>
      <c r="E146" s="138">
        <v>5106</v>
      </c>
      <c r="F146" s="136" t="s">
        <v>140</v>
      </c>
      <c r="G146" s="136" t="s">
        <v>63</v>
      </c>
      <c r="H146" s="136" t="s">
        <v>277</v>
      </c>
      <c r="I146" s="139">
        <v>0</v>
      </c>
      <c r="J146" s="139">
        <v>0</v>
      </c>
      <c r="K146" s="139">
        <v>0</v>
      </c>
      <c r="L146" s="139">
        <v>2741974</v>
      </c>
      <c r="M146" s="139">
        <v>0</v>
      </c>
      <c r="N146" s="139">
        <v>0</v>
      </c>
      <c r="O146" s="139">
        <v>0</v>
      </c>
      <c r="P146" s="139">
        <v>1458026</v>
      </c>
      <c r="Q146" s="139">
        <v>0</v>
      </c>
      <c r="R146" s="139">
        <v>0</v>
      </c>
      <c r="S146" s="139">
        <v>0</v>
      </c>
      <c r="T146" s="139">
        <v>0</v>
      </c>
      <c r="U146" s="139">
        <f>SUM(I146:T146)</f>
        <v>4200000</v>
      </c>
    </row>
    <row r="147" spans="1:21" outlineLevel="1">
      <c r="A147" s="136"/>
      <c r="B147" s="136"/>
      <c r="C147" s="154" t="s">
        <v>294</v>
      </c>
      <c r="D147" s="137"/>
      <c r="E147" s="138"/>
      <c r="F147" s="136"/>
      <c r="G147" s="136"/>
      <c r="H147" s="136"/>
      <c r="I147" s="186">
        <f t="shared" ref="I147:U147" si="27">SUBTOTAL(9,I146:I146)</f>
        <v>0</v>
      </c>
      <c r="J147" s="186">
        <f t="shared" si="27"/>
        <v>0</v>
      </c>
      <c r="K147" s="186">
        <f t="shared" si="27"/>
        <v>0</v>
      </c>
      <c r="L147" s="186">
        <f t="shared" si="27"/>
        <v>2741974</v>
      </c>
      <c r="M147" s="186">
        <f t="shared" si="27"/>
        <v>0</v>
      </c>
      <c r="N147" s="186">
        <f t="shared" si="27"/>
        <v>0</v>
      </c>
      <c r="O147" s="186">
        <f t="shared" si="27"/>
        <v>0</v>
      </c>
      <c r="P147" s="186">
        <f t="shared" si="27"/>
        <v>1458026</v>
      </c>
      <c r="Q147" s="186">
        <f t="shared" si="27"/>
        <v>0</v>
      </c>
      <c r="R147" s="186">
        <f t="shared" si="27"/>
        <v>0</v>
      </c>
      <c r="S147" s="186">
        <f t="shared" si="27"/>
        <v>0</v>
      </c>
      <c r="T147" s="186">
        <f t="shared" si="27"/>
        <v>0</v>
      </c>
      <c r="U147" s="186">
        <f t="shared" si="27"/>
        <v>4200000</v>
      </c>
    </row>
    <row r="148" spans="1:21" outlineLevel="2">
      <c r="A148" s="136" t="s">
        <v>236</v>
      </c>
      <c r="B148" s="136" t="s">
        <v>203</v>
      </c>
      <c r="C148" s="136" t="s">
        <v>46</v>
      </c>
      <c r="D148" s="137" t="s">
        <v>465</v>
      </c>
      <c r="E148" s="138">
        <v>7137</v>
      </c>
      <c r="F148" s="136" t="s">
        <v>142</v>
      </c>
      <c r="G148" s="136" t="s">
        <v>345</v>
      </c>
      <c r="H148" s="136" t="s">
        <v>278</v>
      </c>
      <c r="I148" s="139">
        <v>0</v>
      </c>
      <c r="J148" s="139">
        <v>0</v>
      </c>
      <c r="K148" s="139">
        <v>0</v>
      </c>
      <c r="L148" s="139">
        <v>0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0</v>
      </c>
      <c r="S148" s="139">
        <v>0</v>
      </c>
      <c r="T148" s="139">
        <v>500000</v>
      </c>
      <c r="U148" s="139">
        <f>SUM(I148:T148)</f>
        <v>500000</v>
      </c>
    </row>
    <row r="149" spans="1:21" outlineLevel="1">
      <c r="A149" s="136"/>
      <c r="B149" s="136"/>
      <c r="C149" s="154" t="s">
        <v>295</v>
      </c>
      <c r="D149" s="137"/>
      <c r="E149" s="138"/>
      <c r="F149" s="136"/>
      <c r="G149" s="136"/>
      <c r="H149" s="136"/>
      <c r="I149" s="186">
        <f t="shared" ref="I149:U149" si="28">SUBTOTAL(9,I148:I148)</f>
        <v>0</v>
      </c>
      <c r="J149" s="186">
        <f t="shared" si="28"/>
        <v>0</v>
      </c>
      <c r="K149" s="186">
        <f t="shared" si="28"/>
        <v>0</v>
      </c>
      <c r="L149" s="186">
        <f t="shared" si="28"/>
        <v>0</v>
      </c>
      <c r="M149" s="186">
        <f t="shared" si="28"/>
        <v>0</v>
      </c>
      <c r="N149" s="186">
        <f t="shared" si="28"/>
        <v>0</v>
      </c>
      <c r="O149" s="186">
        <f t="shared" si="28"/>
        <v>0</v>
      </c>
      <c r="P149" s="186">
        <f t="shared" si="28"/>
        <v>0</v>
      </c>
      <c r="Q149" s="186">
        <f t="shared" si="28"/>
        <v>0</v>
      </c>
      <c r="R149" s="186">
        <f t="shared" si="28"/>
        <v>0</v>
      </c>
      <c r="S149" s="186">
        <f t="shared" si="28"/>
        <v>0</v>
      </c>
      <c r="T149" s="186">
        <f t="shared" si="28"/>
        <v>500000</v>
      </c>
      <c r="U149" s="186">
        <f t="shared" si="28"/>
        <v>500000</v>
      </c>
    </row>
    <row r="150" spans="1:21" outlineLevel="2">
      <c r="A150" s="136" t="s">
        <v>236</v>
      </c>
      <c r="B150" s="136" t="s">
        <v>203</v>
      </c>
      <c r="C150" s="136" t="s">
        <v>39</v>
      </c>
      <c r="D150" s="137" t="s">
        <v>466</v>
      </c>
      <c r="E150" s="138">
        <v>6109</v>
      </c>
      <c r="F150" s="136" t="s">
        <v>143</v>
      </c>
      <c r="G150" s="136" t="s">
        <v>369</v>
      </c>
      <c r="H150" s="136" t="s">
        <v>278</v>
      </c>
      <c r="I150" s="139">
        <v>0</v>
      </c>
      <c r="J150" s="139">
        <v>0</v>
      </c>
      <c r="K150" s="139">
        <v>0</v>
      </c>
      <c r="L150" s="139">
        <v>0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0</v>
      </c>
      <c r="S150" s="139">
        <v>0</v>
      </c>
      <c r="T150" s="139">
        <v>0</v>
      </c>
      <c r="U150" s="139">
        <f>SUM(I150:T150)</f>
        <v>0</v>
      </c>
    </row>
    <row r="151" spans="1:21" outlineLevel="2">
      <c r="A151" s="136" t="s">
        <v>236</v>
      </c>
      <c r="B151" s="136" t="s">
        <v>203</v>
      </c>
      <c r="C151" s="136" t="s">
        <v>39</v>
      </c>
      <c r="D151" s="137" t="s">
        <v>343</v>
      </c>
      <c r="E151" s="138">
        <v>7132</v>
      </c>
      <c r="F151" s="136" t="s">
        <v>142</v>
      </c>
      <c r="G151" s="136" t="s">
        <v>343</v>
      </c>
      <c r="H151" s="136" t="s">
        <v>278</v>
      </c>
      <c r="I151" s="139">
        <v>0</v>
      </c>
      <c r="J151" s="139">
        <v>0</v>
      </c>
      <c r="K151" s="139">
        <v>0</v>
      </c>
      <c r="L151" s="139">
        <v>0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0</v>
      </c>
      <c r="S151" s="139">
        <v>0</v>
      </c>
      <c r="T151" s="139">
        <v>0</v>
      </c>
      <c r="U151" s="139">
        <f>SUM(I151:T151)</f>
        <v>0</v>
      </c>
    </row>
    <row r="152" spans="1:21" outlineLevel="2">
      <c r="A152" s="136" t="s">
        <v>236</v>
      </c>
      <c r="B152" s="136" t="s">
        <v>203</v>
      </c>
      <c r="C152" s="136" t="s">
        <v>39</v>
      </c>
      <c r="D152" s="137" t="s">
        <v>467</v>
      </c>
      <c r="E152" s="138">
        <v>7135</v>
      </c>
      <c r="F152" s="136" t="s">
        <v>142</v>
      </c>
      <c r="G152" s="136" t="s">
        <v>344</v>
      </c>
      <c r="H152" s="136" t="s">
        <v>278</v>
      </c>
      <c r="I152" s="139">
        <v>0</v>
      </c>
      <c r="J152" s="139">
        <v>0</v>
      </c>
      <c r="K152" s="139">
        <v>0</v>
      </c>
      <c r="L152" s="139">
        <v>0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0</v>
      </c>
      <c r="S152" s="139">
        <v>0</v>
      </c>
      <c r="T152" s="139">
        <v>2750000</v>
      </c>
      <c r="U152" s="139">
        <f>SUM(I152:T152)</f>
        <v>2750000</v>
      </c>
    </row>
    <row r="153" spans="1:21" outlineLevel="1">
      <c r="A153" s="136"/>
      <c r="B153" s="136"/>
      <c r="C153" s="154" t="s">
        <v>296</v>
      </c>
      <c r="D153" s="137"/>
      <c r="E153" s="138"/>
      <c r="F153" s="136"/>
      <c r="G153" s="136"/>
      <c r="H153" s="136"/>
      <c r="I153" s="186">
        <f t="shared" ref="I153:U153" si="29">SUBTOTAL(9,I150:I152)</f>
        <v>0</v>
      </c>
      <c r="J153" s="186">
        <f t="shared" si="29"/>
        <v>0</v>
      </c>
      <c r="K153" s="186">
        <f t="shared" si="29"/>
        <v>0</v>
      </c>
      <c r="L153" s="186">
        <f t="shared" si="29"/>
        <v>0</v>
      </c>
      <c r="M153" s="186">
        <f t="shared" si="29"/>
        <v>0</v>
      </c>
      <c r="N153" s="186">
        <f t="shared" si="29"/>
        <v>0</v>
      </c>
      <c r="O153" s="186">
        <f t="shared" si="29"/>
        <v>0</v>
      </c>
      <c r="P153" s="186">
        <f t="shared" si="29"/>
        <v>0</v>
      </c>
      <c r="Q153" s="186">
        <f t="shared" si="29"/>
        <v>0</v>
      </c>
      <c r="R153" s="186">
        <f t="shared" si="29"/>
        <v>0</v>
      </c>
      <c r="S153" s="186">
        <f t="shared" si="29"/>
        <v>0</v>
      </c>
      <c r="T153" s="186">
        <f t="shared" si="29"/>
        <v>2750000</v>
      </c>
      <c r="U153" s="186">
        <f t="shared" si="29"/>
        <v>2750000</v>
      </c>
    </row>
    <row r="154" spans="1:21" outlineLevel="2">
      <c r="A154" s="136" t="s">
        <v>236</v>
      </c>
      <c r="B154" s="136" t="s">
        <v>201</v>
      </c>
      <c r="C154" s="136" t="s">
        <v>40</v>
      </c>
      <c r="D154" s="137" t="s">
        <v>468</v>
      </c>
      <c r="E154" s="138">
        <v>5142</v>
      </c>
      <c r="F154" s="136" t="s">
        <v>140</v>
      </c>
      <c r="G154" s="136" t="s">
        <v>213</v>
      </c>
      <c r="H154" s="136" t="s">
        <v>278</v>
      </c>
      <c r="I154" s="139">
        <v>0</v>
      </c>
      <c r="J154" s="139">
        <v>0</v>
      </c>
      <c r="K154" s="139">
        <v>0</v>
      </c>
      <c r="L154" s="139">
        <v>0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0</v>
      </c>
      <c r="S154" s="139">
        <v>719028</v>
      </c>
      <c r="T154" s="139">
        <v>0</v>
      </c>
      <c r="U154" s="139">
        <f>SUM(I154:T154)</f>
        <v>719028</v>
      </c>
    </row>
    <row r="155" spans="1:21" outlineLevel="2">
      <c r="A155" s="136" t="s">
        <v>236</v>
      </c>
      <c r="B155" s="136" t="s">
        <v>201</v>
      </c>
      <c r="C155" s="136" t="s">
        <v>40</v>
      </c>
      <c r="D155" s="137" t="s">
        <v>422</v>
      </c>
      <c r="E155" s="138">
        <v>6002</v>
      </c>
      <c r="F155" s="136" t="s">
        <v>135</v>
      </c>
      <c r="G155" s="136" t="s">
        <v>315</v>
      </c>
      <c r="H155" s="136" t="s">
        <v>277</v>
      </c>
      <c r="I155" s="139">
        <v>20833</v>
      </c>
      <c r="J155" s="139">
        <v>20833</v>
      </c>
      <c r="K155" s="139">
        <v>20833</v>
      </c>
      <c r="L155" s="139">
        <v>20833</v>
      </c>
      <c r="M155" s="139">
        <v>20833</v>
      </c>
      <c r="N155" s="139">
        <v>20833</v>
      </c>
      <c r="O155" s="139">
        <v>20833</v>
      </c>
      <c r="P155" s="139">
        <v>20833</v>
      </c>
      <c r="Q155" s="139">
        <v>20833</v>
      </c>
      <c r="R155" s="139">
        <v>20833</v>
      </c>
      <c r="S155" s="139">
        <v>20833</v>
      </c>
      <c r="T155" s="139">
        <v>20833</v>
      </c>
      <c r="U155" s="139">
        <f>SUM(I155:T155)</f>
        <v>249996</v>
      </c>
    </row>
    <row r="156" spans="1:21" outlineLevel="1">
      <c r="A156" s="136"/>
      <c r="B156" s="136"/>
      <c r="C156" s="154" t="s">
        <v>294</v>
      </c>
      <c r="D156" s="137"/>
      <c r="E156" s="138"/>
      <c r="F156" s="136"/>
      <c r="G156" s="136"/>
      <c r="H156" s="136"/>
      <c r="I156" s="186">
        <f t="shared" ref="I156:U156" si="30">SUBTOTAL(9,I154:I155)</f>
        <v>20833</v>
      </c>
      <c r="J156" s="186">
        <f t="shared" si="30"/>
        <v>20833</v>
      </c>
      <c r="K156" s="186">
        <f t="shared" si="30"/>
        <v>20833</v>
      </c>
      <c r="L156" s="186">
        <f t="shared" si="30"/>
        <v>20833</v>
      </c>
      <c r="M156" s="186">
        <f t="shared" si="30"/>
        <v>20833</v>
      </c>
      <c r="N156" s="186">
        <f t="shared" si="30"/>
        <v>20833</v>
      </c>
      <c r="O156" s="186">
        <f t="shared" si="30"/>
        <v>20833</v>
      </c>
      <c r="P156" s="186">
        <f t="shared" si="30"/>
        <v>20833</v>
      </c>
      <c r="Q156" s="186">
        <f t="shared" si="30"/>
        <v>20833</v>
      </c>
      <c r="R156" s="186">
        <f t="shared" si="30"/>
        <v>20833</v>
      </c>
      <c r="S156" s="186">
        <f t="shared" si="30"/>
        <v>739861</v>
      </c>
      <c r="T156" s="186">
        <f t="shared" si="30"/>
        <v>20833</v>
      </c>
      <c r="U156" s="186">
        <f t="shared" si="30"/>
        <v>969024</v>
      </c>
    </row>
    <row r="157" spans="1:21">
      <c r="A157" s="136"/>
      <c r="B157" s="136"/>
      <c r="C157" s="154" t="s">
        <v>126</v>
      </c>
      <c r="D157" s="137"/>
      <c r="E157" s="138"/>
      <c r="F157" s="136"/>
      <c r="G157" s="136"/>
      <c r="H157" s="136"/>
      <c r="I157" s="186">
        <f t="shared" ref="I157:T157" si="31">SUBTOTAL(9,I132:I155)</f>
        <v>1005500</v>
      </c>
      <c r="J157" s="186">
        <f t="shared" si="31"/>
        <v>997633</v>
      </c>
      <c r="K157" s="186">
        <f t="shared" si="31"/>
        <v>2537152</v>
      </c>
      <c r="L157" s="186">
        <f t="shared" si="31"/>
        <v>3455989</v>
      </c>
      <c r="M157" s="186">
        <f t="shared" si="31"/>
        <v>714759</v>
      </c>
      <c r="N157" s="186">
        <f t="shared" si="31"/>
        <v>2253879</v>
      </c>
      <c r="O157" s="186">
        <f t="shared" si="31"/>
        <v>722306</v>
      </c>
      <c r="P157" s="186">
        <f t="shared" si="31"/>
        <v>2170371</v>
      </c>
      <c r="Q157" s="186">
        <f t="shared" si="31"/>
        <v>2253585</v>
      </c>
      <c r="R157" s="186">
        <f t="shared" si="31"/>
        <v>997835</v>
      </c>
      <c r="S157" s="186">
        <f t="shared" si="31"/>
        <v>1717114</v>
      </c>
      <c r="T157" s="186">
        <f t="shared" si="31"/>
        <v>25536389</v>
      </c>
      <c r="U157" s="186">
        <f>SUBTOTAL(9,U132:U155)</f>
        <v>44362512</v>
      </c>
    </row>
    <row r="158" spans="1:21" outlineLevel="1">
      <c r="A158" s="136"/>
      <c r="B158" s="136"/>
      <c r="C158" s="136"/>
      <c r="D158" s="137"/>
      <c r="E158" s="138"/>
      <c r="F158" s="136"/>
      <c r="G158" s="136"/>
      <c r="H158" s="136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</row>
    <row r="159" spans="1:21" outlineLevel="2">
      <c r="A159" s="136" t="s">
        <v>229</v>
      </c>
      <c r="B159" s="136" t="s">
        <v>201</v>
      </c>
      <c r="C159" s="136" t="s">
        <v>40</v>
      </c>
      <c r="D159" s="137" t="s">
        <v>469</v>
      </c>
      <c r="E159" s="138">
        <v>4108</v>
      </c>
      <c r="F159" s="136" t="s">
        <v>138</v>
      </c>
      <c r="G159" s="136" t="s">
        <v>60</v>
      </c>
      <c r="H159" s="136" t="s">
        <v>276</v>
      </c>
      <c r="I159" s="139">
        <v>0</v>
      </c>
      <c r="J159" s="139">
        <v>0</v>
      </c>
      <c r="K159" s="139">
        <v>62500</v>
      </c>
      <c r="L159" s="139">
        <v>0</v>
      </c>
      <c r="M159" s="139">
        <v>0</v>
      </c>
      <c r="N159" s="139">
        <v>62500</v>
      </c>
      <c r="O159" s="139">
        <v>0</v>
      </c>
      <c r="P159" s="139">
        <v>0</v>
      </c>
      <c r="Q159" s="139">
        <v>62500</v>
      </c>
      <c r="R159" s="139">
        <v>0</v>
      </c>
      <c r="S159" s="139">
        <v>0</v>
      </c>
      <c r="T159" s="139">
        <v>62500</v>
      </c>
      <c r="U159" s="139">
        <f t="shared" ref="U159:U174" si="32">SUM(I159:T159)</f>
        <v>250000</v>
      </c>
    </row>
    <row r="160" spans="1:21" outlineLevel="2">
      <c r="A160" s="136" t="s">
        <v>229</v>
      </c>
      <c r="B160" s="136" t="s">
        <v>201</v>
      </c>
      <c r="C160" s="136" t="s">
        <v>40</v>
      </c>
      <c r="D160" s="137" t="s">
        <v>470</v>
      </c>
      <c r="E160" s="138">
        <v>4140</v>
      </c>
      <c r="F160" s="136" t="s">
        <v>138</v>
      </c>
      <c r="G160" s="136" t="s">
        <v>62</v>
      </c>
      <c r="H160" s="136" t="s">
        <v>278</v>
      </c>
      <c r="I160" s="139">
        <v>0</v>
      </c>
      <c r="J160" s="139">
        <v>0</v>
      </c>
      <c r="K160" s="139">
        <v>0</v>
      </c>
      <c r="L160" s="139">
        <v>0</v>
      </c>
      <c r="M160" s="139">
        <v>2000000</v>
      </c>
      <c r="N160" s="139">
        <v>0</v>
      </c>
      <c r="O160" s="139">
        <v>0</v>
      </c>
      <c r="P160" s="139">
        <v>0</v>
      </c>
      <c r="Q160" s="139">
        <v>1000000</v>
      </c>
      <c r="R160" s="139">
        <v>0</v>
      </c>
      <c r="S160" s="139">
        <v>0</v>
      </c>
      <c r="T160" s="139">
        <v>48323000</v>
      </c>
      <c r="U160" s="139">
        <f t="shared" si="32"/>
        <v>51323000</v>
      </c>
    </row>
    <row r="161" spans="1:21" outlineLevel="2">
      <c r="A161" s="136" t="s">
        <v>229</v>
      </c>
      <c r="B161" s="136" t="s">
        <v>201</v>
      </c>
      <c r="C161" s="136" t="s">
        <v>40</v>
      </c>
      <c r="D161" s="137" t="s">
        <v>471</v>
      </c>
      <c r="E161" s="138">
        <v>4147</v>
      </c>
      <c r="F161" s="136" t="s">
        <v>138</v>
      </c>
      <c r="G161" s="136" t="s">
        <v>206</v>
      </c>
      <c r="H161" s="136" t="s">
        <v>276</v>
      </c>
      <c r="I161" s="139">
        <v>0</v>
      </c>
      <c r="J161" s="139">
        <v>0</v>
      </c>
      <c r="K161" s="139">
        <v>0</v>
      </c>
      <c r="L161" s="139">
        <v>0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0</v>
      </c>
      <c r="S161" s="139">
        <v>0</v>
      </c>
      <c r="T161" s="139">
        <v>1149000</v>
      </c>
      <c r="U161" s="139">
        <f t="shared" si="32"/>
        <v>1149000</v>
      </c>
    </row>
    <row r="162" spans="1:21" outlineLevel="2">
      <c r="A162" s="136" t="s">
        <v>229</v>
      </c>
      <c r="B162" s="136" t="s">
        <v>201</v>
      </c>
      <c r="C162" s="136" t="s">
        <v>40</v>
      </c>
      <c r="D162" s="137" t="s">
        <v>207</v>
      </c>
      <c r="E162" s="138">
        <v>4148</v>
      </c>
      <c r="F162" s="136" t="s">
        <v>138</v>
      </c>
      <c r="G162" s="136" t="s">
        <v>207</v>
      </c>
      <c r="H162" s="136" t="s">
        <v>276</v>
      </c>
      <c r="I162" s="139">
        <v>0</v>
      </c>
      <c r="J162" s="139">
        <v>0</v>
      </c>
      <c r="K162" s="139">
        <v>0</v>
      </c>
      <c r="L162" s="139">
        <v>0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0</v>
      </c>
      <c r="S162" s="139">
        <v>0</v>
      </c>
      <c r="T162" s="139">
        <v>4136001</v>
      </c>
      <c r="U162" s="139">
        <f t="shared" si="32"/>
        <v>4136001</v>
      </c>
    </row>
    <row r="163" spans="1:21" outlineLevel="2">
      <c r="A163" s="136" t="s">
        <v>229</v>
      </c>
      <c r="B163" s="136" t="s">
        <v>201</v>
      </c>
      <c r="C163" s="136" t="s">
        <v>40</v>
      </c>
      <c r="D163" s="137" t="s">
        <v>472</v>
      </c>
      <c r="E163" s="138">
        <v>4152</v>
      </c>
      <c r="F163" s="136" t="s">
        <v>138</v>
      </c>
      <c r="G163" s="136" t="s">
        <v>210</v>
      </c>
      <c r="H163" s="136" t="s">
        <v>278</v>
      </c>
      <c r="I163" s="139">
        <v>3800000</v>
      </c>
      <c r="J163" s="139">
        <v>0</v>
      </c>
      <c r="K163" s="139">
        <v>0</v>
      </c>
      <c r="L163" s="139">
        <f>6500000+4000000</f>
        <v>10500000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0</v>
      </c>
      <c r="S163" s="139">
        <v>0</v>
      </c>
      <c r="T163" s="139">
        <v>0</v>
      </c>
      <c r="U163" s="139">
        <f t="shared" si="32"/>
        <v>14300000</v>
      </c>
    </row>
    <row r="164" spans="1:21" outlineLevel="2">
      <c r="A164" s="136" t="s">
        <v>229</v>
      </c>
      <c r="B164" s="136" t="s">
        <v>201</v>
      </c>
      <c r="C164" s="136" t="s">
        <v>40</v>
      </c>
      <c r="D164" s="137" t="s">
        <v>473</v>
      </c>
      <c r="E164" s="138">
        <v>4161</v>
      </c>
      <c r="F164" s="136" t="s">
        <v>138</v>
      </c>
      <c r="G164" s="136" t="s">
        <v>328</v>
      </c>
      <c r="H164" s="136" t="s">
        <v>278</v>
      </c>
      <c r="I164" s="139">
        <v>0</v>
      </c>
      <c r="J164" s="139">
        <v>0</v>
      </c>
      <c r="K164" s="139">
        <v>0</v>
      </c>
      <c r="L164" s="139">
        <v>0</v>
      </c>
      <c r="M164" s="139">
        <v>11400000</v>
      </c>
      <c r="N164" s="139">
        <v>0</v>
      </c>
      <c r="O164" s="139">
        <v>0</v>
      </c>
      <c r="P164" s="139">
        <v>0</v>
      </c>
      <c r="Q164" s="139">
        <v>0</v>
      </c>
      <c r="R164" s="139">
        <v>0</v>
      </c>
      <c r="S164" s="139">
        <v>0</v>
      </c>
      <c r="T164" s="139">
        <v>0</v>
      </c>
      <c r="U164" s="139">
        <f t="shared" si="32"/>
        <v>11400000</v>
      </c>
    </row>
    <row r="165" spans="1:21" outlineLevel="2">
      <c r="A165" s="136" t="s">
        <v>229</v>
      </c>
      <c r="B165" s="136" t="s">
        <v>201</v>
      </c>
      <c r="C165" s="136" t="s">
        <v>40</v>
      </c>
      <c r="D165" s="137" t="s">
        <v>474</v>
      </c>
      <c r="E165" s="138">
        <v>4162</v>
      </c>
      <c r="F165" s="136" t="s">
        <v>138</v>
      </c>
      <c r="G165" s="136" t="s">
        <v>329</v>
      </c>
      <c r="H165" s="136" t="s">
        <v>278</v>
      </c>
      <c r="I165" s="139">
        <v>0</v>
      </c>
      <c r="J165" s="139">
        <v>0</v>
      </c>
      <c r="K165" s="139">
        <v>0</v>
      </c>
      <c r="L165" s="139">
        <v>0</v>
      </c>
      <c r="M165" s="139">
        <v>11008000</v>
      </c>
      <c r="N165" s="139">
        <v>0</v>
      </c>
      <c r="O165" s="139">
        <v>0</v>
      </c>
      <c r="P165" s="139">
        <v>0</v>
      </c>
      <c r="Q165" s="139">
        <v>0</v>
      </c>
      <c r="R165" s="139">
        <v>0</v>
      </c>
      <c r="S165" s="139">
        <v>0</v>
      </c>
      <c r="T165" s="139">
        <v>0</v>
      </c>
      <c r="U165" s="139">
        <f t="shared" si="32"/>
        <v>11008000</v>
      </c>
    </row>
    <row r="166" spans="1:21" outlineLevel="2">
      <c r="A166" s="136" t="s">
        <v>229</v>
      </c>
      <c r="B166" s="136" t="s">
        <v>201</v>
      </c>
      <c r="C166" s="136" t="s">
        <v>40</v>
      </c>
      <c r="D166" s="137" t="s">
        <v>475</v>
      </c>
      <c r="E166" s="138">
        <v>4163</v>
      </c>
      <c r="F166" s="136" t="s">
        <v>138</v>
      </c>
      <c r="G166" s="136" t="s">
        <v>330</v>
      </c>
      <c r="H166" s="136" t="s">
        <v>278</v>
      </c>
      <c r="I166" s="139">
        <v>0</v>
      </c>
      <c r="J166" s="139">
        <v>0</v>
      </c>
      <c r="K166" s="139">
        <v>0</v>
      </c>
      <c r="L166" s="139">
        <v>0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0</v>
      </c>
      <c r="S166" s="139">
        <v>0</v>
      </c>
      <c r="T166" s="139">
        <v>0</v>
      </c>
      <c r="U166" s="139">
        <f t="shared" si="32"/>
        <v>0</v>
      </c>
    </row>
    <row r="167" spans="1:21" outlineLevel="2">
      <c r="A167" s="136" t="s">
        <v>229</v>
      </c>
      <c r="B167" s="136" t="s">
        <v>201</v>
      </c>
      <c r="C167" s="136" t="s">
        <v>40</v>
      </c>
      <c r="D167" s="137" t="s">
        <v>331</v>
      </c>
      <c r="E167" s="138">
        <v>4164</v>
      </c>
      <c r="F167" s="136" t="s">
        <v>138</v>
      </c>
      <c r="G167" s="136" t="s">
        <v>331</v>
      </c>
      <c r="H167" s="136" t="s">
        <v>278</v>
      </c>
      <c r="I167" s="139">
        <v>0</v>
      </c>
      <c r="J167" s="139">
        <v>0</v>
      </c>
      <c r="K167" s="139">
        <v>0</v>
      </c>
      <c r="L167" s="139">
        <v>0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0</v>
      </c>
      <c r="S167" s="139">
        <v>0</v>
      </c>
      <c r="T167" s="139">
        <v>0</v>
      </c>
      <c r="U167" s="139">
        <f t="shared" si="32"/>
        <v>0</v>
      </c>
    </row>
    <row r="168" spans="1:21" outlineLevel="2">
      <c r="A168" s="136" t="s">
        <v>229</v>
      </c>
      <c r="B168" s="136" t="s">
        <v>201</v>
      </c>
      <c r="C168" s="136" t="s">
        <v>40</v>
      </c>
      <c r="D168" s="202" t="s">
        <v>492</v>
      </c>
      <c r="E168" s="203">
        <v>4166</v>
      </c>
      <c r="F168" s="136" t="s">
        <v>138</v>
      </c>
      <c r="G168" s="201" t="s">
        <v>493</v>
      </c>
      <c r="H168" s="201" t="s">
        <v>278</v>
      </c>
      <c r="I168" s="139"/>
      <c r="J168" s="139"/>
      <c r="K168" s="139"/>
      <c r="L168" s="139"/>
      <c r="M168" s="139"/>
      <c r="N168" s="139">
        <v>1350000</v>
      </c>
      <c r="O168" s="139"/>
      <c r="P168" s="139"/>
      <c r="Q168" s="139"/>
      <c r="R168" s="139"/>
      <c r="S168" s="139"/>
      <c r="T168" s="139"/>
      <c r="U168" s="139">
        <f t="shared" si="32"/>
        <v>1350000</v>
      </c>
    </row>
    <row r="169" spans="1:21" outlineLevel="2">
      <c r="A169" s="136" t="s">
        <v>229</v>
      </c>
      <c r="B169" s="136" t="s">
        <v>201</v>
      </c>
      <c r="C169" s="136" t="s">
        <v>40</v>
      </c>
      <c r="D169" s="137" t="s">
        <v>476</v>
      </c>
      <c r="E169" s="138">
        <v>4169</v>
      </c>
      <c r="F169" s="136" t="s">
        <v>138</v>
      </c>
      <c r="G169" s="136" t="s">
        <v>288</v>
      </c>
      <c r="H169" s="136" t="s">
        <v>278</v>
      </c>
      <c r="I169" s="139">
        <v>0</v>
      </c>
      <c r="J169" s="139">
        <v>0</v>
      </c>
      <c r="K169" s="139">
        <v>0</v>
      </c>
      <c r="L169" s="139">
        <v>0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0</v>
      </c>
      <c r="S169" s="139">
        <v>0</v>
      </c>
      <c r="T169" s="139">
        <v>0</v>
      </c>
      <c r="U169" s="139">
        <f t="shared" si="32"/>
        <v>0</v>
      </c>
    </row>
    <row r="170" spans="1:21" outlineLevel="2">
      <c r="A170" s="136" t="s">
        <v>229</v>
      </c>
      <c r="B170" s="136" t="s">
        <v>201</v>
      </c>
      <c r="C170" s="136" t="s">
        <v>40</v>
      </c>
      <c r="D170" s="137" t="s">
        <v>334</v>
      </c>
      <c r="E170" s="138">
        <v>4171</v>
      </c>
      <c r="F170" s="136" t="s">
        <v>138</v>
      </c>
      <c r="G170" s="136" t="s">
        <v>334</v>
      </c>
      <c r="H170" s="136" t="s">
        <v>278</v>
      </c>
      <c r="I170" s="139">
        <v>0</v>
      </c>
      <c r="J170" s="139">
        <v>0</v>
      </c>
      <c r="K170" s="139">
        <v>0</v>
      </c>
      <c r="L170" s="139">
        <v>0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0</v>
      </c>
      <c r="S170" s="139">
        <v>0</v>
      </c>
      <c r="T170" s="139">
        <v>0</v>
      </c>
      <c r="U170" s="139">
        <f t="shared" si="32"/>
        <v>0</v>
      </c>
    </row>
    <row r="171" spans="1:21" outlineLevel="2">
      <c r="A171" s="136" t="s">
        <v>229</v>
      </c>
      <c r="B171" s="136" t="s">
        <v>201</v>
      </c>
      <c r="C171" s="136" t="s">
        <v>40</v>
      </c>
      <c r="D171" s="137" t="s">
        <v>477</v>
      </c>
      <c r="E171" s="138">
        <v>6001</v>
      </c>
      <c r="F171" s="136" t="s">
        <v>135</v>
      </c>
      <c r="G171" s="136" t="s">
        <v>136</v>
      </c>
      <c r="H171" s="136" t="s">
        <v>277</v>
      </c>
      <c r="I171" s="139">
        <v>0</v>
      </c>
      <c r="J171" s="139">
        <v>0</v>
      </c>
      <c r="K171" s="139">
        <v>17500</v>
      </c>
      <c r="L171" s="139">
        <v>0</v>
      </c>
      <c r="M171" s="139">
        <v>0</v>
      </c>
      <c r="N171" s="139">
        <v>17500</v>
      </c>
      <c r="O171" s="139">
        <v>0</v>
      </c>
      <c r="P171" s="139">
        <v>0</v>
      </c>
      <c r="Q171" s="139">
        <v>17500</v>
      </c>
      <c r="R171" s="139">
        <v>0</v>
      </c>
      <c r="S171" s="139">
        <v>0</v>
      </c>
      <c r="T171" s="139">
        <v>17500</v>
      </c>
      <c r="U171" s="139">
        <f t="shared" si="32"/>
        <v>70000</v>
      </c>
    </row>
    <row r="172" spans="1:21" outlineLevel="2">
      <c r="A172" s="136" t="s">
        <v>229</v>
      </c>
      <c r="B172" s="136" t="s">
        <v>201</v>
      </c>
      <c r="C172" s="136" t="s">
        <v>40</v>
      </c>
      <c r="D172" s="137" t="s">
        <v>478</v>
      </c>
      <c r="E172" s="138">
        <v>6100</v>
      </c>
      <c r="F172" s="136" t="s">
        <v>135</v>
      </c>
      <c r="G172" s="136" t="s">
        <v>65</v>
      </c>
      <c r="H172" s="136" t="s">
        <v>277</v>
      </c>
      <c r="I172" s="139">
        <v>0</v>
      </c>
      <c r="J172" s="139">
        <v>0</v>
      </c>
      <c r="K172" s="139">
        <v>15000</v>
      </c>
      <c r="L172" s="139">
        <v>15000</v>
      </c>
      <c r="M172" s="139">
        <v>15000</v>
      </c>
      <c r="N172" s="139">
        <v>0</v>
      </c>
      <c r="O172" s="139">
        <v>0</v>
      </c>
      <c r="P172" s="139">
        <v>15000</v>
      </c>
      <c r="Q172" s="139">
        <v>15000</v>
      </c>
      <c r="R172" s="139">
        <v>15000</v>
      </c>
      <c r="S172" s="139">
        <v>10000</v>
      </c>
      <c r="T172" s="139">
        <v>0</v>
      </c>
      <c r="U172" s="139">
        <f t="shared" si="32"/>
        <v>100000</v>
      </c>
    </row>
    <row r="173" spans="1:21" outlineLevel="2">
      <c r="A173" s="136" t="s">
        <v>229</v>
      </c>
      <c r="B173" s="136" t="s">
        <v>201</v>
      </c>
      <c r="C173" s="136" t="s">
        <v>40</v>
      </c>
      <c r="D173" s="137" t="s">
        <v>478</v>
      </c>
      <c r="E173" s="138">
        <v>6103</v>
      </c>
      <c r="F173" s="136" t="s">
        <v>135</v>
      </c>
      <c r="G173" s="136" t="s">
        <v>67</v>
      </c>
      <c r="H173" s="136" t="s">
        <v>277</v>
      </c>
      <c r="I173" s="139">
        <f>91627+676400</f>
        <v>768027</v>
      </c>
      <c r="J173" s="139">
        <f>187813+676400</f>
        <v>864213</v>
      </c>
      <c r="K173" s="139">
        <f>220376+676400</f>
        <v>896776</v>
      </c>
      <c r="L173" s="139">
        <f>286098+676400</f>
        <v>962498</v>
      </c>
      <c r="M173" s="139">
        <f>319019+676400</f>
        <v>995419</v>
      </c>
      <c r="N173" s="139">
        <f>351369+676400</f>
        <v>1027769</v>
      </c>
      <c r="O173" s="139">
        <f>255517+676400</f>
        <v>931917</v>
      </c>
      <c r="P173" s="139">
        <f>220055+676400</f>
        <v>896455</v>
      </c>
      <c r="Q173" s="139">
        <f>285748+676400</f>
        <v>962148</v>
      </c>
      <c r="R173" s="139">
        <f>318950+676400</f>
        <v>995350</v>
      </c>
      <c r="S173" s="139">
        <f>515639+676400</f>
        <v>1192039</v>
      </c>
      <c r="T173" s="139">
        <f>2718999+676400</f>
        <v>3395399</v>
      </c>
      <c r="U173" s="139">
        <f t="shared" si="32"/>
        <v>13888010</v>
      </c>
    </row>
    <row r="174" spans="1:21" outlineLevel="2">
      <c r="A174" s="136" t="s">
        <v>229</v>
      </c>
      <c r="B174" s="136" t="s">
        <v>201</v>
      </c>
      <c r="C174" s="136" t="s">
        <v>40</v>
      </c>
      <c r="D174" s="137" t="s">
        <v>479</v>
      </c>
      <c r="E174" s="138">
        <v>6107</v>
      </c>
      <c r="F174" s="136" t="s">
        <v>135</v>
      </c>
      <c r="G174" s="136" t="s">
        <v>68</v>
      </c>
      <c r="H174" s="136" t="s">
        <v>277</v>
      </c>
      <c r="I174" s="139">
        <v>38500</v>
      </c>
      <c r="J174" s="139">
        <v>38500</v>
      </c>
      <c r="K174" s="139">
        <v>38500</v>
      </c>
      <c r="L174" s="139">
        <v>38500</v>
      </c>
      <c r="M174" s="139">
        <v>38500</v>
      </c>
      <c r="N174" s="139">
        <v>38500</v>
      </c>
      <c r="O174" s="139">
        <v>38500</v>
      </c>
      <c r="P174" s="139">
        <v>38500</v>
      </c>
      <c r="Q174" s="139">
        <v>38500</v>
      </c>
      <c r="R174" s="139">
        <v>38500</v>
      </c>
      <c r="S174" s="139">
        <v>38500</v>
      </c>
      <c r="T174" s="139">
        <v>38200</v>
      </c>
      <c r="U174" s="139">
        <f t="shared" si="32"/>
        <v>461700</v>
      </c>
    </row>
    <row r="175" spans="1:21" outlineLevel="1">
      <c r="A175" s="154" t="s">
        <v>290</v>
      </c>
      <c r="B175" s="136"/>
      <c r="C175" s="136"/>
      <c r="D175" s="137"/>
      <c r="E175" s="138"/>
      <c r="F175" s="136"/>
      <c r="G175" s="136"/>
      <c r="H175" s="136"/>
      <c r="I175" s="186">
        <f t="shared" ref="I175:U175" si="33">SUBTOTAL(9,I159:I174)</f>
        <v>4606527</v>
      </c>
      <c r="J175" s="186">
        <f t="shared" si="33"/>
        <v>902713</v>
      </c>
      <c r="K175" s="186">
        <f t="shared" si="33"/>
        <v>1030276</v>
      </c>
      <c r="L175" s="186">
        <f t="shared" si="33"/>
        <v>11515998</v>
      </c>
      <c r="M175" s="186">
        <f t="shared" si="33"/>
        <v>25456919</v>
      </c>
      <c r="N175" s="186">
        <f t="shared" si="33"/>
        <v>2496269</v>
      </c>
      <c r="O175" s="186">
        <f t="shared" si="33"/>
        <v>970417</v>
      </c>
      <c r="P175" s="186">
        <f t="shared" si="33"/>
        <v>949955</v>
      </c>
      <c r="Q175" s="186">
        <f t="shared" si="33"/>
        <v>2095648</v>
      </c>
      <c r="R175" s="186">
        <f t="shared" si="33"/>
        <v>1048850</v>
      </c>
      <c r="S175" s="186">
        <f t="shared" si="33"/>
        <v>1240539</v>
      </c>
      <c r="T175" s="186">
        <f t="shared" si="33"/>
        <v>57121600</v>
      </c>
      <c r="U175" s="186">
        <f t="shared" si="33"/>
        <v>109435711</v>
      </c>
    </row>
    <row r="176" spans="1:21" outlineLevel="1">
      <c r="A176" s="136"/>
      <c r="B176" s="136"/>
      <c r="C176" s="136"/>
      <c r="D176" s="137"/>
      <c r="E176" s="138"/>
      <c r="F176" s="136"/>
      <c r="G176" s="136"/>
      <c r="H176" s="136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</row>
    <row r="177" spans="1:21" outlineLevel="2">
      <c r="A177" s="136" t="s">
        <v>232</v>
      </c>
      <c r="B177" s="136" t="s">
        <v>201</v>
      </c>
      <c r="C177" s="136" t="s">
        <v>40</v>
      </c>
      <c r="D177" s="137" t="s">
        <v>480</v>
      </c>
      <c r="E177" s="138">
        <v>4142</v>
      </c>
      <c r="F177" s="136" t="s">
        <v>138</v>
      </c>
      <c r="G177" s="136" t="s">
        <v>326</v>
      </c>
      <c r="H177" s="136" t="s">
        <v>276</v>
      </c>
      <c r="I177" s="139">
        <v>0</v>
      </c>
      <c r="J177" s="139">
        <v>0</v>
      </c>
      <c r="K177" s="139">
        <f>185000-185000</f>
        <v>0</v>
      </c>
      <c r="L177" s="139">
        <v>0</v>
      </c>
      <c r="M177" s="139">
        <v>0</v>
      </c>
      <c r="N177" s="139">
        <f>185000-185000</f>
        <v>0</v>
      </c>
      <c r="O177" s="139">
        <v>0</v>
      </c>
      <c r="P177" s="139">
        <v>0</v>
      </c>
      <c r="Q177" s="139">
        <f>185000-185000</f>
        <v>0</v>
      </c>
      <c r="R177" s="139">
        <v>0</v>
      </c>
      <c r="S177" s="139">
        <v>0</v>
      </c>
      <c r="T177" s="139">
        <f>185000-185000</f>
        <v>0</v>
      </c>
      <c r="U177" s="139">
        <f>SUM(I177:T177)</f>
        <v>0</v>
      </c>
    </row>
    <row r="178" spans="1:21" outlineLevel="2">
      <c r="A178" s="136" t="s">
        <v>232</v>
      </c>
      <c r="B178" s="136" t="s">
        <v>201</v>
      </c>
      <c r="C178" s="136" t="s">
        <v>40</v>
      </c>
      <c r="D178" s="137" t="s">
        <v>480</v>
      </c>
      <c r="E178" s="138">
        <v>4143</v>
      </c>
      <c r="F178" s="136" t="s">
        <v>138</v>
      </c>
      <c r="G178" s="136" t="s">
        <v>327</v>
      </c>
      <c r="H178" s="136" t="s">
        <v>276</v>
      </c>
      <c r="I178" s="139">
        <v>0</v>
      </c>
      <c r="J178" s="139">
        <v>0</v>
      </c>
      <c r="K178" s="139">
        <v>0</v>
      </c>
      <c r="L178" s="139">
        <v>0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0</v>
      </c>
      <c r="S178" s="139">
        <v>0</v>
      </c>
      <c r="T178" s="139">
        <v>0</v>
      </c>
      <c r="U178" s="139">
        <f>SUM(I178:T178)</f>
        <v>0</v>
      </c>
    </row>
    <row r="179" spans="1:21" outlineLevel="2">
      <c r="A179" s="136" t="s">
        <v>232</v>
      </c>
      <c r="B179" s="136" t="s">
        <v>201</v>
      </c>
      <c r="C179" s="136" t="s">
        <v>40</v>
      </c>
      <c r="D179" s="137" t="s">
        <v>481</v>
      </c>
      <c r="E179" s="138">
        <v>4149</v>
      </c>
      <c r="F179" s="136" t="s">
        <v>138</v>
      </c>
      <c r="G179" s="136" t="s">
        <v>208</v>
      </c>
      <c r="H179" s="136" t="s">
        <v>276</v>
      </c>
      <c r="I179" s="139">
        <v>0</v>
      </c>
      <c r="J179" s="139">
        <v>0</v>
      </c>
      <c r="K179" s="139">
        <v>0</v>
      </c>
      <c r="L179" s="139">
        <v>0</v>
      </c>
      <c r="M179" s="139">
        <v>0</v>
      </c>
      <c r="N179" s="139">
        <v>0</v>
      </c>
      <c r="O179" s="139">
        <v>2200000</v>
      </c>
      <c r="P179" s="139">
        <v>0</v>
      </c>
      <c r="Q179" s="139">
        <v>0</v>
      </c>
      <c r="R179" s="139">
        <v>0</v>
      </c>
      <c r="S179" s="139">
        <v>0</v>
      </c>
      <c r="T179" s="139">
        <v>0</v>
      </c>
      <c r="U179" s="139">
        <f>SUM(I179:T179)</f>
        <v>2200000</v>
      </c>
    </row>
    <row r="180" spans="1:21" outlineLevel="2">
      <c r="A180" s="136" t="s">
        <v>232</v>
      </c>
      <c r="B180" s="136" t="s">
        <v>201</v>
      </c>
      <c r="C180" s="136" t="s">
        <v>40</v>
      </c>
      <c r="D180" s="137" t="s">
        <v>209</v>
      </c>
      <c r="E180" s="138">
        <v>4150</v>
      </c>
      <c r="F180" s="136" t="s">
        <v>138</v>
      </c>
      <c r="G180" s="136" t="s">
        <v>209</v>
      </c>
      <c r="H180" s="136" t="s">
        <v>276</v>
      </c>
      <c r="I180" s="139">
        <v>0</v>
      </c>
      <c r="J180" s="139">
        <v>0</v>
      </c>
      <c r="K180" s="139">
        <v>0</v>
      </c>
      <c r="L180" s="139">
        <v>0</v>
      </c>
      <c r="M180" s="139">
        <v>0</v>
      </c>
      <c r="N180" s="139">
        <v>0</v>
      </c>
      <c r="O180" s="139">
        <v>500000</v>
      </c>
      <c r="P180" s="139">
        <v>0</v>
      </c>
      <c r="Q180" s="139">
        <v>0</v>
      </c>
      <c r="R180" s="139">
        <v>0</v>
      </c>
      <c r="S180" s="139">
        <v>0</v>
      </c>
      <c r="T180" s="139">
        <v>0</v>
      </c>
      <c r="U180" s="139">
        <f>SUM(I180:T180)</f>
        <v>500000</v>
      </c>
    </row>
    <row r="181" spans="1:21" outlineLevel="1">
      <c r="A181" s="154" t="s">
        <v>291</v>
      </c>
      <c r="B181" s="136"/>
      <c r="C181" s="136"/>
      <c r="D181" s="137"/>
      <c r="E181" s="138"/>
      <c r="F181" s="136"/>
      <c r="G181" s="136"/>
      <c r="H181" s="136"/>
      <c r="I181" s="186">
        <f t="shared" ref="I181:U181" si="34">SUBTOTAL(9,I177:I180)</f>
        <v>0</v>
      </c>
      <c r="J181" s="186">
        <f t="shared" si="34"/>
        <v>0</v>
      </c>
      <c r="K181" s="186">
        <f t="shared" si="34"/>
        <v>0</v>
      </c>
      <c r="L181" s="186">
        <f t="shared" si="34"/>
        <v>0</v>
      </c>
      <c r="M181" s="186">
        <f t="shared" si="34"/>
        <v>0</v>
      </c>
      <c r="N181" s="186">
        <f t="shared" si="34"/>
        <v>0</v>
      </c>
      <c r="O181" s="186">
        <f t="shared" si="34"/>
        <v>2700000</v>
      </c>
      <c r="P181" s="186">
        <f t="shared" si="34"/>
        <v>0</v>
      </c>
      <c r="Q181" s="186">
        <f t="shared" si="34"/>
        <v>0</v>
      </c>
      <c r="R181" s="186">
        <f t="shared" si="34"/>
        <v>0</v>
      </c>
      <c r="S181" s="186">
        <f t="shared" si="34"/>
        <v>0</v>
      </c>
      <c r="T181" s="186">
        <f t="shared" si="34"/>
        <v>0</v>
      </c>
      <c r="U181" s="186">
        <f t="shared" si="34"/>
        <v>2700000</v>
      </c>
    </row>
    <row r="182" spans="1:21" outlineLevel="1">
      <c r="A182" s="136"/>
      <c r="B182" s="136"/>
      <c r="C182" s="136"/>
      <c r="D182" s="137"/>
      <c r="E182" s="138"/>
      <c r="F182" s="136"/>
      <c r="G182" s="136"/>
      <c r="H182" s="136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</row>
    <row r="183" spans="1:21">
      <c r="A183" s="136" t="s">
        <v>234</v>
      </c>
      <c r="B183" s="136" t="s">
        <v>203</v>
      </c>
      <c r="C183" s="136" t="s">
        <v>41</v>
      </c>
      <c r="D183" s="137" t="s">
        <v>482</v>
      </c>
      <c r="E183" s="138">
        <v>5005</v>
      </c>
      <c r="F183" s="136" t="s">
        <v>140</v>
      </c>
      <c r="G183" s="136" t="s">
        <v>211</v>
      </c>
      <c r="H183" s="136" t="s">
        <v>277</v>
      </c>
      <c r="I183" s="139">
        <v>0</v>
      </c>
      <c r="J183" s="139">
        <v>0</v>
      </c>
      <c r="K183" s="139">
        <v>4648709</v>
      </c>
      <c r="L183" s="139">
        <v>0</v>
      </c>
      <c r="M183" s="139">
        <v>0</v>
      </c>
      <c r="N183" s="139">
        <v>4648709</v>
      </c>
      <c r="O183" s="139">
        <v>0</v>
      </c>
      <c r="P183" s="139">
        <v>0</v>
      </c>
      <c r="Q183" s="139">
        <v>4648709</v>
      </c>
      <c r="R183" s="139">
        <v>0</v>
      </c>
      <c r="S183" s="139">
        <v>0</v>
      </c>
      <c r="T183" s="139">
        <v>4648709</v>
      </c>
      <c r="U183" s="139">
        <f>SUM(I183:T183)</f>
        <v>18594836</v>
      </c>
    </row>
    <row r="184" spans="1:21" outlineLevel="2">
      <c r="A184" s="136" t="s">
        <v>234</v>
      </c>
      <c r="B184" s="136" t="s">
        <v>203</v>
      </c>
      <c r="C184" s="136" t="s">
        <v>41</v>
      </c>
      <c r="D184" s="137" t="s">
        <v>483</v>
      </c>
      <c r="E184" s="138">
        <v>5006</v>
      </c>
      <c r="F184" s="136" t="s">
        <v>140</v>
      </c>
      <c r="G184" s="136" t="s">
        <v>212</v>
      </c>
      <c r="H184" s="136" t="s">
        <v>276</v>
      </c>
      <c r="I184" s="139">
        <v>12917</v>
      </c>
      <c r="J184" s="139">
        <v>12917</v>
      </c>
      <c r="K184" s="139">
        <v>1478939</v>
      </c>
      <c r="L184" s="139">
        <v>12917</v>
      </c>
      <c r="M184" s="139">
        <v>12917</v>
      </c>
      <c r="N184" s="139">
        <v>1478939</v>
      </c>
      <c r="O184" s="139">
        <v>12917</v>
      </c>
      <c r="P184" s="139">
        <v>12917</v>
      </c>
      <c r="Q184" s="139">
        <v>1478939</v>
      </c>
      <c r="R184" s="139">
        <v>12917</v>
      </c>
      <c r="S184" s="139">
        <v>12917</v>
      </c>
      <c r="T184" s="139">
        <v>1528939</v>
      </c>
      <c r="U184" s="139">
        <f>SUM(I184:T184)</f>
        <v>6069092</v>
      </c>
    </row>
    <row r="185" spans="1:21" outlineLevel="2">
      <c r="A185" s="136" t="s">
        <v>234</v>
      </c>
      <c r="B185" s="136" t="s">
        <v>203</v>
      </c>
      <c r="C185" s="136" t="s">
        <v>41</v>
      </c>
      <c r="D185" s="137" t="s">
        <v>484</v>
      </c>
      <c r="E185" s="138">
        <v>5010</v>
      </c>
      <c r="F185" s="136" t="s">
        <v>140</v>
      </c>
      <c r="G185" s="136" t="s">
        <v>4</v>
      </c>
      <c r="H185" s="136" t="s">
        <v>276</v>
      </c>
      <c r="I185" s="139">
        <v>0</v>
      </c>
      <c r="J185" s="139">
        <v>0</v>
      </c>
      <c r="K185" s="139">
        <v>112500</v>
      </c>
      <c r="L185" s="139">
        <v>0</v>
      </c>
      <c r="M185" s="139">
        <v>0</v>
      </c>
      <c r="N185" s="139">
        <v>112500</v>
      </c>
      <c r="O185" s="139">
        <v>0</v>
      </c>
      <c r="P185" s="139">
        <v>0</v>
      </c>
      <c r="Q185" s="139">
        <v>112500</v>
      </c>
      <c r="R185" s="139">
        <v>0</v>
      </c>
      <c r="S185" s="139">
        <v>0</v>
      </c>
      <c r="T185" s="139">
        <v>112500</v>
      </c>
      <c r="U185" s="139">
        <f>SUM(I185:T185)</f>
        <v>450000</v>
      </c>
    </row>
    <row r="186" spans="1:21" outlineLevel="2">
      <c r="A186" s="136" t="s">
        <v>234</v>
      </c>
      <c r="B186" s="136" t="s">
        <v>203</v>
      </c>
      <c r="C186" s="136" t="s">
        <v>41</v>
      </c>
      <c r="D186" s="137" t="s">
        <v>485</v>
      </c>
      <c r="E186" s="138">
        <v>5138</v>
      </c>
      <c r="F186" s="136" t="s">
        <v>140</v>
      </c>
      <c r="G186" s="136" t="s">
        <v>197</v>
      </c>
      <c r="H186" s="136" t="s">
        <v>278</v>
      </c>
      <c r="I186" s="139">
        <v>0</v>
      </c>
      <c r="J186" s="139">
        <v>83819844</v>
      </c>
      <c r="K186" s="139">
        <v>4000000</v>
      </c>
      <c r="L186" s="139">
        <v>2600000</v>
      </c>
      <c r="M186" s="139">
        <v>4688477</v>
      </c>
      <c r="N186" s="139">
        <v>0</v>
      </c>
      <c r="O186" s="139">
        <v>0</v>
      </c>
      <c r="P186" s="139">
        <v>0</v>
      </c>
      <c r="Q186" s="139">
        <v>0</v>
      </c>
      <c r="R186" s="139">
        <v>0</v>
      </c>
      <c r="S186" s="139">
        <v>0</v>
      </c>
      <c r="T186" s="139">
        <v>0</v>
      </c>
      <c r="U186" s="139">
        <f>SUM(I186:T186)</f>
        <v>95108321</v>
      </c>
    </row>
    <row r="187" spans="1:21" outlineLevel="2">
      <c r="A187" s="136"/>
      <c r="B187" s="136"/>
      <c r="C187" s="136"/>
      <c r="D187" s="137"/>
      <c r="E187" s="138"/>
      <c r="F187" s="136"/>
      <c r="G187" s="136"/>
      <c r="H187" s="136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</row>
    <row r="188" spans="1:21" outlineLevel="2">
      <c r="A188" s="136" t="s">
        <v>234</v>
      </c>
      <c r="B188" s="136" t="s">
        <v>203</v>
      </c>
      <c r="C188" s="136" t="s">
        <v>41</v>
      </c>
      <c r="D188" s="137" t="s">
        <v>486</v>
      </c>
      <c r="E188" s="138">
        <v>5143</v>
      </c>
      <c r="F188" s="136" t="s">
        <v>140</v>
      </c>
      <c r="G188" s="136" t="s">
        <v>237</v>
      </c>
      <c r="H188" s="136" t="s">
        <v>278</v>
      </c>
      <c r="I188" s="139">
        <v>0</v>
      </c>
      <c r="J188" s="139">
        <v>0</v>
      </c>
      <c r="K188" s="139">
        <v>0</v>
      </c>
      <c r="L188" s="139">
        <v>0</v>
      </c>
      <c r="M188" s="139">
        <v>0</v>
      </c>
      <c r="N188" s="139">
        <v>0</v>
      </c>
      <c r="O188" s="139">
        <v>0</v>
      </c>
      <c r="P188" s="139">
        <v>0</v>
      </c>
      <c r="Q188" s="139">
        <v>0</v>
      </c>
      <c r="R188" s="139">
        <v>0</v>
      </c>
      <c r="S188" s="139">
        <v>4124999</v>
      </c>
      <c r="T188" s="139">
        <v>0</v>
      </c>
      <c r="U188" s="139">
        <f>SUM(I188:T188)</f>
        <v>4124999</v>
      </c>
    </row>
    <row r="189" spans="1:21" outlineLevel="2">
      <c r="A189" s="136" t="s">
        <v>234</v>
      </c>
      <c r="B189" s="136" t="s">
        <v>203</v>
      </c>
      <c r="C189" s="136" t="s">
        <v>41</v>
      </c>
      <c r="D189" s="137" t="s">
        <v>226</v>
      </c>
      <c r="E189" s="138">
        <v>5144</v>
      </c>
      <c r="F189" s="136" t="s">
        <v>140</v>
      </c>
      <c r="G189" s="136" t="s">
        <v>226</v>
      </c>
      <c r="H189" s="136" t="s">
        <v>278</v>
      </c>
      <c r="I189" s="139">
        <v>0</v>
      </c>
      <c r="J189" s="139">
        <v>0</v>
      </c>
      <c r="K189" s="139">
        <v>112500</v>
      </c>
      <c r="L189" s="139">
        <v>0</v>
      </c>
      <c r="M189" s="139">
        <v>0</v>
      </c>
      <c r="N189" s="139">
        <v>112500</v>
      </c>
      <c r="O189" s="139">
        <v>0</v>
      </c>
      <c r="P189" s="139">
        <v>0</v>
      </c>
      <c r="Q189" s="139">
        <v>112500</v>
      </c>
      <c r="R189" s="139">
        <v>0</v>
      </c>
      <c r="S189" s="139">
        <v>0</v>
      </c>
      <c r="T189" s="139">
        <v>112500</v>
      </c>
      <c r="U189" s="139">
        <f>SUM(I189:T189)</f>
        <v>450000</v>
      </c>
    </row>
    <row r="190" spans="1:21" outlineLevel="2">
      <c r="A190" s="136" t="s">
        <v>234</v>
      </c>
      <c r="B190" s="136" t="s">
        <v>203</v>
      </c>
      <c r="C190" s="136" t="s">
        <v>41</v>
      </c>
      <c r="D190" s="137" t="s">
        <v>336</v>
      </c>
      <c r="E190" s="138">
        <v>5147</v>
      </c>
      <c r="F190" s="136" t="s">
        <v>140</v>
      </c>
      <c r="G190" s="136" t="s">
        <v>336</v>
      </c>
      <c r="H190" s="136" t="s">
        <v>278</v>
      </c>
      <c r="I190" s="139">
        <v>0</v>
      </c>
      <c r="J190" s="139">
        <v>0</v>
      </c>
      <c r="K190" s="139">
        <v>0</v>
      </c>
      <c r="L190" s="139">
        <v>0</v>
      </c>
      <c r="M190" s="139">
        <v>0</v>
      </c>
      <c r="N190" s="139">
        <v>0</v>
      </c>
      <c r="O190" s="139">
        <v>0</v>
      </c>
      <c r="P190" s="139">
        <v>0</v>
      </c>
      <c r="Q190" s="139">
        <v>0</v>
      </c>
      <c r="R190" s="139">
        <v>0</v>
      </c>
      <c r="S190" s="139">
        <v>0</v>
      </c>
      <c r="T190" s="139">
        <v>0</v>
      </c>
      <c r="U190" s="139">
        <f>SUM(I190:T190)</f>
        <v>0</v>
      </c>
    </row>
    <row r="191" spans="1:21" outlineLevel="2">
      <c r="A191" s="136" t="s">
        <v>234</v>
      </c>
      <c r="B191" s="136" t="s">
        <v>203</v>
      </c>
      <c r="C191" s="136" t="s">
        <v>41</v>
      </c>
      <c r="D191" s="137" t="s">
        <v>337</v>
      </c>
      <c r="E191" s="138">
        <v>5149</v>
      </c>
      <c r="F191" s="136" t="s">
        <v>140</v>
      </c>
      <c r="G191" s="136" t="s">
        <v>337</v>
      </c>
      <c r="H191" s="136" t="s">
        <v>278</v>
      </c>
      <c r="I191" s="139">
        <v>0</v>
      </c>
      <c r="J191" s="139">
        <v>0</v>
      </c>
      <c r="K191" s="139">
        <v>0</v>
      </c>
      <c r="L191" s="139">
        <v>0</v>
      </c>
      <c r="M191" s="139">
        <v>0</v>
      </c>
      <c r="N191" s="139">
        <v>0</v>
      </c>
      <c r="O191" s="139">
        <v>0</v>
      </c>
      <c r="P191" s="139">
        <v>0</v>
      </c>
      <c r="Q191" s="139">
        <v>0</v>
      </c>
      <c r="R191" s="139">
        <v>0</v>
      </c>
      <c r="S191" s="139">
        <v>0</v>
      </c>
      <c r="T191" s="139">
        <v>0</v>
      </c>
      <c r="U191" s="139">
        <f>SUM(I191:T191)</f>
        <v>0</v>
      </c>
    </row>
    <row r="192" spans="1:21" outlineLevel="2">
      <c r="A192" s="136" t="s">
        <v>234</v>
      </c>
      <c r="B192" s="136" t="s">
        <v>203</v>
      </c>
      <c r="C192" s="136" t="s">
        <v>41</v>
      </c>
      <c r="D192" s="137" t="s">
        <v>487</v>
      </c>
      <c r="E192" s="138">
        <v>7200</v>
      </c>
      <c r="F192" s="136" t="s">
        <v>142</v>
      </c>
      <c r="G192" s="136" t="s">
        <v>75</v>
      </c>
      <c r="H192" s="136" t="s">
        <v>276</v>
      </c>
      <c r="I192" s="139">
        <v>5000</v>
      </c>
      <c r="J192" s="139">
        <v>5000</v>
      </c>
      <c r="K192" s="139">
        <v>5000</v>
      </c>
      <c r="L192" s="139">
        <v>5000</v>
      </c>
      <c r="M192" s="139">
        <v>5000</v>
      </c>
      <c r="N192" s="139">
        <v>5000</v>
      </c>
      <c r="O192" s="139">
        <v>5000</v>
      </c>
      <c r="P192" s="139">
        <v>5000</v>
      </c>
      <c r="Q192" s="139">
        <v>5000</v>
      </c>
      <c r="R192" s="139">
        <v>5000</v>
      </c>
      <c r="S192" s="139">
        <v>5000</v>
      </c>
      <c r="T192" s="139">
        <v>5000</v>
      </c>
      <c r="U192" s="139">
        <f>SUM(I192:T192)</f>
        <v>60000</v>
      </c>
    </row>
    <row r="193" spans="1:40" s="135" customFormat="1" outlineLevel="1">
      <c r="A193" s="154"/>
      <c r="B193" s="154"/>
      <c r="C193" s="155" t="s">
        <v>297</v>
      </c>
      <c r="D193" s="185"/>
      <c r="E193" s="155"/>
      <c r="F193" s="154"/>
      <c r="G193" s="154"/>
      <c r="H193" s="154"/>
      <c r="I193" s="186">
        <f t="shared" ref="I193:T193" si="35">SUBTOTAL(9,I183:I192)</f>
        <v>17917</v>
      </c>
      <c r="J193" s="186">
        <f t="shared" si="35"/>
        <v>83837761</v>
      </c>
      <c r="K193" s="186">
        <f t="shared" si="35"/>
        <v>10357648</v>
      </c>
      <c r="L193" s="186">
        <f t="shared" si="35"/>
        <v>2617917</v>
      </c>
      <c r="M193" s="186">
        <f t="shared" si="35"/>
        <v>4706394</v>
      </c>
      <c r="N193" s="186">
        <f t="shared" si="35"/>
        <v>6357648</v>
      </c>
      <c r="O193" s="186">
        <f t="shared" si="35"/>
        <v>17917</v>
      </c>
      <c r="P193" s="186">
        <f t="shared" si="35"/>
        <v>17917</v>
      </c>
      <c r="Q193" s="186">
        <f t="shared" si="35"/>
        <v>6357648</v>
      </c>
      <c r="R193" s="186">
        <f t="shared" si="35"/>
        <v>17917</v>
      </c>
      <c r="S193" s="186">
        <f t="shared" si="35"/>
        <v>4142916</v>
      </c>
      <c r="T193" s="186">
        <f t="shared" si="35"/>
        <v>6407648</v>
      </c>
      <c r="U193" s="186">
        <f>SUBTOTAL(9,U183:U192)</f>
        <v>124857248</v>
      </c>
    </row>
    <row r="194" spans="1:40" outlineLevel="2">
      <c r="A194" s="136" t="s">
        <v>234</v>
      </c>
      <c r="B194" s="136" t="s">
        <v>203</v>
      </c>
      <c r="C194" s="136" t="s">
        <v>46</v>
      </c>
      <c r="D194" s="137" t="s">
        <v>338</v>
      </c>
      <c r="E194" s="138">
        <v>5150</v>
      </c>
      <c r="F194" s="136" t="s">
        <v>140</v>
      </c>
      <c r="G194" s="136" t="s">
        <v>338</v>
      </c>
      <c r="H194" s="136" t="s">
        <v>278</v>
      </c>
      <c r="I194" s="139">
        <v>0</v>
      </c>
      <c r="J194" s="139">
        <v>0</v>
      </c>
      <c r="K194" s="139">
        <v>0</v>
      </c>
      <c r="L194" s="139">
        <v>0</v>
      </c>
      <c r="M194" s="139">
        <v>0</v>
      </c>
      <c r="N194" s="139">
        <v>0</v>
      </c>
      <c r="O194" s="139">
        <v>0</v>
      </c>
      <c r="P194" s="139">
        <v>0</v>
      </c>
      <c r="Q194" s="139">
        <v>0</v>
      </c>
      <c r="R194" s="139">
        <v>0</v>
      </c>
      <c r="S194" s="139">
        <v>0</v>
      </c>
      <c r="T194" s="139">
        <v>0</v>
      </c>
      <c r="U194" s="139">
        <f>SUM(I194:T194)</f>
        <v>0</v>
      </c>
    </row>
    <row r="195" spans="1:40" s="135" customFormat="1" outlineLevel="1">
      <c r="A195" s="154"/>
      <c r="B195" s="154"/>
      <c r="C195" s="154" t="s">
        <v>295</v>
      </c>
      <c r="D195" s="185"/>
      <c r="E195" s="155"/>
      <c r="F195" s="154"/>
      <c r="G195" s="154"/>
      <c r="H195" s="154"/>
      <c r="I195" s="186">
        <f t="shared" ref="I195:U195" si="36">SUBTOTAL(9,I194:I194)</f>
        <v>0</v>
      </c>
      <c r="J195" s="186">
        <f t="shared" si="36"/>
        <v>0</v>
      </c>
      <c r="K195" s="186">
        <f t="shared" si="36"/>
        <v>0</v>
      </c>
      <c r="L195" s="186">
        <f t="shared" si="36"/>
        <v>0</v>
      </c>
      <c r="M195" s="186">
        <f t="shared" si="36"/>
        <v>0</v>
      </c>
      <c r="N195" s="186">
        <f t="shared" si="36"/>
        <v>0</v>
      </c>
      <c r="O195" s="186">
        <f t="shared" si="36"/>
        <v>0</v>
      </c>
      <c r="P195" s="186">
        <f t="shared" si="36"/>
        <v>0</v>
      </c>
      <c r="Q195" s="186">
        <f t="shared" si="36"/>
        <v>0</v>
      </c>
      <c r="R195" s="186">
        <f t="shared" si="36"/>
        <v>0</v>
      </c>
      <c r="S195" s="186">
        <f t="shared" si="36"/>
        <v>0</v>
      </c>
      <c r="T195" s="186">
        <f t="shared" si="36"/>
        <v>0</v>
      </c>
      <c r="U195" s="186">
        <f t="shared" si="36"/>
        <v>0</v>
      </c>
    </row>
    <row r="196" spans="1:40" s="135" customFormat="1">
      <c r="A196" s="154"/>
      <c r="B196" s="154"/>
      <c r="C196" s="154" t="s">
        <v>126</v>
      </c>
      <c r="D196" s="185"/>
      <c r="E196" s="155"/>
      <c r="F196" s="154"/>
      <c r="G196" s="154"/>
      <c r="H196" s="154"/>
      <c r="I196" s="186">
        <f t="shared" ref="I196:T196" si="37">SUBTOTAL(9,I183:I194)</f>
        <v>17917</v>
      </c>
      <c r="J196" s="186">
        <f t="shared" si="37"/>
        <v>83837761</v>
      </c>
      <c r="K196" s="186">
        <f t="shared" si="37"/>
        <v>10357648</v>
      </c>
      <c r="L196" s="186">
        <f t="shared" si="37"/>
        <v>2617917</v>
      </c>
      <c r="M196" s="186">
        <f t="shared" si="37"/>
        <v>4706394</v>
      </c>
      <c r="N196" s="186">
        <f t="shared" si="37"/>
        <v>6357648</v>
      </c>
      <c r="O196" s="186">
        <f t="shared" si="37"/>
        <v>17917</v>
      </c>
      <c r="P196" s="186">
        <f t="shared" si="37"/>
        <v>17917</v>
      </c>
      <c r="Q196" s="186">
        <f t="shared" si="37"/>
        <v>6357648</v>
      </c>
      <c r="R196" s="186">
        <f t="shared" si="37"/>
        <v>17917</v>
      </c>
      <c r="S196" s="186">
        <f t="shared" si="37"/>
        <v>4142916</v>
      </c>
      <c r="T196" s="186">
        <f t="shared" si="37"/>
        <v>6407648</v>
      </c>
      <c r="U196" s="186">
        <f>SUBTOTAL(9,U183:U194)</f>
        <v>124857248</v>
      </c>
    </row>
    <row r="197" spans="1:40" outlineLevel="1">
      <c r="A197" s="136"/>
      <c r="B197" s="136"/>
      <c r="C197" s="136"/>
      <c r="D197" s="137"/>
      <c r="E197" s="138"/>
      <c r="F197" s="136"/>
      <c r="G197" s="136"/>
      <c r="H197" s="136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</row>
    <row r="198" spans="1:40" outlineLevel="2">
      <c r="A198" s="136" t="s">
        <v>233</v>
      </c>
      <c r="B198" s="136" t="s">
        <v>201</v>
      </c>
      <c r="C198" s="136" t="s">
        <v>40</v>
      </c>
      <c r="D198" s="137" t="s">
        <v>488</v>
      </c>
      <c r="E198" s="138">
        <v>4116</v>
      </c>
      <c r="F198" s="136" t="s">
        <v>138</v>
      </c>
      <c r="G198" s="136" t="s">
        <v>61</v>
      </c>
      <c r="H198" s="136" t="s">
        <v>276</v>
      </c>
      <c r="I198" s="139">
        <v>39891</v>
      </c>
      <c r="J198" s="139">
        <v>39891</v>
      </c>
      <c r="K198" s="139">
        <v>59837</v>
      </c>
      <c r="L198" s="139">
        <v>69810</v>
      </c>
      <c r="M198" s="139">
        <v>79783</v>
      </c>
      <c r="N198" s="139">
        <v>119674</v>
      </c>
      <c r="O198" s="139">
        <v>119674</v>
      </c>
      <c r="P198" s="139">
        <v>109701</v>
      </c>
      <c r="Q198" s="139">
        <v>109701</v>
      </c>
      <c r="R198" s="139">
        <v>89756</v>
      </c>
      <c r="S198" s="139">
        <v>79783</v>
      </c>
      <c r="T198" s="139">
        <v>1579784</v>
      </c>
      <c r="U198" s="139">
        <f>SUM(I198:T198)</f>
        <v>2497285</v>
      </c>
    </row>
    <row r="199" spans="1:40" outlineLevel="2">
      <c r="A199" s="136" t="s">
        <v>233</v>
      </c>
      <c r="B199" s="136" t="s">
        <v>201</v>
      </c>
      <c r="C199" s="136" t="s">
        <v>40</v>
      </c>
      <c r="D199" s="137" t="s">
        <v>332</v>
      </c>
      <c r="E199" s="138">
        <v>4168</v>
      </c>
      <c r="F199" s="136" t="s">
        <v>138</v>
      </c>
      <c r="G199" s="136" t="s">
        <v>332</v>
      </c>
      <c r="H199" s="136" t="s">
        <v>278</v>
      </c>
      <c r="I199" s="139">
        <v>0</v>
      </c>
      <c r="J199" s="139">
        <v>0</v>
      </c>
      <c r="K199" s="139">
        <v>0</v>
      </c>
      <c r="L199" s="139">
        <v>0</v>
      </c>
      <c r="M199" s="139">
        <v>0</v>
      </c>
      <c r="N199" s="139">
        <v>0</v>
      </c>
      <c r="O199" s="139">
        <v>0</v>
      </c>
      <c r="P199" s="139">
        <v>0</v>
      </c>
      <c r="Q199" s="139">
        <v>0</v>
      </c>
      <c r="R199" s="139">
        <v>0</v>
      </c>
      <c r="S199" s="139">
        <v>0</v>
      </c>
      <c r="T199" s="139">
        <v>0</v>
      </c>
      <c r="U199" s="139">
        <f>SUM(I199:T199)</f>
        <v>0</v>
      </c>
    </row>
    <row r="200" spans="1:40" outlineLevel="2">
      <c r="A200" s="136" t="s">
        <v>233</v>
      </c>
      <c r="B200" s="136" t="s">
        <v>201</v>
      </c>
      <c r="C200" s="136" t="s">
        <v>40</v>
      </c>
      <c r="D200" s="137" t="s">
        <v>333</v>
      </c>
      <c r="E200" s="138">
        <v>4170</v>
      </c>
      <c r="F200" s="136" t="s">
        <v>138</v>
      </c>
      <c r="G200" s="136" t="s">
        <v>333</v>
      </c>
      <c r="H200" s="136" t="s">
        <v>278</v>
      </c>
      <c r="I200" s="139">
        <v>0</v>
      </c>
      <c r="J200" s="139">
        <v>0</v>
      </c>
      <c r="K200" s="139">
        <v>0</v>
      </c>
      <c r="L200" s="139">
        <v>0</v>
      </c>
      <c r="M200" s="139">
        <v>0</v>
      </c>
      <c r="N200" s="139">
        <v>0</v>
      </c>
      <c r="O200" s="139">
        <v>0</v>
      </c>
      <c r="P200" s="139">
        <v>0</v>
      </c>
      <c r="Q200" s="139">
        <v>0</v>
      </c>
      <c r="R200" s="139">
        <v>0</v>
      </c>
      <c r="S200" s="139">
        <v>0</v>
      </c>
      <c r="T200" s="139">
        <v>0</v>
      </c>
      <c r="U200" s="139">
        <f>SUM(I200:T200)</f>
        <v>0</v>
      </c>
    </row>
    <row r="201" spans="1:40" s="135" customFormat="1" outlineLevel="1">
      <c r="A201" s="154" t="s">
        <v>292</v>
      </c>
      <c r="B201" s="154"/>
      <c r="C201" s="154"/>
      <c r="D201" s="185"/>
      <c r="E201" s="155"/>
      <c r="F201" s="154"/>
      <c r="G201" s="154"/>
      <c r="H201" s="154"/>
      <c r="I201" s="186">
        <f t="shared" ref="I201:U201" si="38">SUBTOTAL(9,I198:I200)</f>
        <v>39891</v>
      </c>
      <c r="J201" s="186">
        <f t="shared" si="38"/>
        <v>39891</v>
      </c>
      <c r="K201" s="186">
        <f t="shared" si="38"/>
        <v>59837</v>
      </c>
      <c r="L201" s="186">
        <f t="shared" si="38"/>
        <v>69810</v>
      </c>
      <c r="M201" s="186">
        <f t="shared" si="38"/>
        <v>79783</v>
      </c>
      <c r="N201" s="186">
        <f t="shared" si="38"/>
        <v>119674</v>
      </c>
      <c r="O201" s="186">
        <f t="shared" si="38"/>
        <v>119674</v>
      </c>
      <c r="P201" s="186">
        <f t="shared" si="38"/>
        <v>109701</v>
      </c>
      <c r="Q201" s="186">
        <f t="shared" si="38"/>
        <v>109701</v>
      </c>
      <c r="R201" s="186">
        <f t="shared" si="38"/>
        <v>89756</v>
      </c>
      <c r="S201" s="186">
        <f t="shared" si="38"/>
        <v>79783</v>
      </c>
      <c r="T201" s="186">
        <f t="shared" si="38"/>
        <v>1579784</v>
      </c>
      <c r="U201" s="186">
        <f t="shared" si="38"/>
        <v>2497285</v>
      </c>
    </row>
    <row r="202" spans="1:40" outlineLevel="1">
      <c r="A202" s="136"/>
      <c r="B202" s="136"/>
      <c r="C202" s="136"/>
      <c r="D202" s="137"/>
      <c r="E202" s="138"/>
      <c r="F202" s="136"/>
      <c r="G202" s="136"/>
      <c r="H202" s="136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</row>
    <row r="203" spans="1:40" outlineLevel="2">
      <c r="A203" s="136" t="s">
        <v>238</v>
      </c>
      <c r="B203" s="136" t="s">
        <v>203</v>
      </c>
      <c r="C203" s="136" t="s">
        <v>41</v>
      </c>
      <c r="D203" s="137" t="s">
        <v>489</v>
      </c>
      <c r="E203" s="138">
        <v>7000</v>
      </c>
      <c r="F203" s="136" t="s">
        <v>142</v>
      </c>
      <c r="G203" s="136" t="s">
        <v>69</v>
      </c>
      <c r="H203" s="136" t="s">
        <v>276</v>
      </c>
      <c r="I203" s="139">
        <v>643409</v>
      </c>
      <c r="J203" s="139">
        <v>641463</v>
      </c>
      <c r="K203" s="139">
        <v>641280</v>
      </c>
      <c r="L203" s="139">
        <v>641439</v>
      </c>
      <c r="M203" s="139">
        <v>641577</v>
      </c>
      <c r="N203" s="139">
        <v>641199</v>
      </c>
      <c r="O203" s="139">
        <v>643444</v>
      </c>
      <c r="P203" s="139">
        <v>640980</v>
      </c>
      <c r="Q203" s="139">
        <v>641126</v>
      </c>
      <c r="R203" s="139">
        <v>641513</v>
      </c>
      <c r="S203" s="139">
        <v>641575</v>
      </c>
      <c r="T203" s="139">
        <v>640995</v>
      </c>
      <c r="U203" s="139">
        <f>SUM(I203:T203)</f>
        <v>7700000</v>
      </c>
    </row>
    <row r="204" spans="1:40" outlineLevel="2">
      <c r="A204" s="136" t="s">
        <v>238</v>
      </c>
      <c r="B204" s="136" t="s">
        <v>203</v>
      </c>
      <c r="C204" s="136" t="s">
        <v>41</v>
      </c>
      <c r="D204" s="137" t="s">
        <v>227</v>
      </c>
      <c r="E204" s="138">
        <v>7127</v>
      </c>
      <c r="F204" s="136" t="s">
        <v>142</v>
      </c>
      <c r="G204" s="136" t="s">
        <v>227</v>
      </c>
      <c r="H204" s="136" t="s">
        <v>278</v>
      </c>
      <c r="I204" s="139">
        <v>0</v>
      </c>
      <c r="J204" s="139">
        <v>0</v>
      </c>
      <c r="K204" s="139">
        <v>0</v>
      </c>
      <c r="L204" s="139">
        <v>0</v>
      </c>
      <c r="M204" s="139">
        <v>0</v>
      </c>
      <c r="N204" s="139">
        <v>0</v>
      </c>
      <c r="O204" s="139">
        <v>0</v>
      </c>
      <c r="P204" s="139">
        <v>0</v>
      </c>
      <c r="Q204" s="139">
        <v>0</v>
      </c>
      <c r="R204" s="139">
        <v>0</v>
      </c>
      <c r="S204" s="139">
        <v>0</v>
      </c>
      <c r="T204" s="139">
        <v>0</v>
      </c>
      <c r="U204" s="139">
        <f>SUM(I204:T204)</f>
        <v>0</v>
      </c>
    </row>
    <row r="205" spans="1:40" s="135" customFormat="1" outlineLevel="1">
      <c r="A205" s="154" t="s">
        <v>293</v>
      </c>
      <c r="B205" s="154"/>
      <c r="C205" s="154"/>
      <c r="D205" s="185"/>
      <c r="E205" s="155"/>
      <c r="F205" s="154"/>
      <c r="G205" s="154"/>
      <c r="H205" s="154"/>
      <c r="I205" s="186">
        <f t="shared" ref="I205:U205" si="39">SUBTOTAL(9,I203:I204)</f>
        <v>643409</v>
      </c>
      <c r="J205" s="186">
        <f t="shared" si="39"/>
        <v>641463</v>
      </c>
      <c r="K205" s="186">
        <f t="shared" si="39"/>
        <v>641280</v>
      </c>
      <c r="L205" s="186">
        <f t="shared" si="39"/>
        <v>641439</v>
      </c>
      <c r="M205" s="186">
        <f t="shared" si="39"/>
        <v>641577</v>
      </c>
      <c r="N205" s="186">
        <f t="shared" si="39"/>
        <v>641199</v>
      </c>
      <c r="O205" s="186">
        <f t="shared" si="39"/>
        <v>643444</v>
      </c>
      <c r="P205" s="186">
        <f t="shared" si="39"/>
        <v>640980</v>
      </c>
      <c r="Q205" s="186">
        <f t="shared" si="39"/>
        <v>641126</v>
      </c>
      <c r="R205" s="186">
        <f t="shared" si="39"/>
        <v>641513</v>
      </c>
      <c r="S205" s="186">
        <f t="shared" si="39"/>
        <v>641575</v>
      </c>
      <c r="T205" s="186">
        <f t="shared" si="39"/>
        <v>640995</v>
      </c>
      <c r="U205" s="186">
        <f t="shared" si="39"/>
        <v>7700000</v>
      </c>
    </row>
    <row r="206" spans="1:40" outlineLevel="1">
      <c r="A206" s="148"/>
      <c r="B206" s="148"/>
      <c r="C206" s="148"/>
      <c r="D206" s="148"/>
      <c r="E206" s="148"/>
      <c r="F206" s="148"/>
      <c r="G206" s="148"/>
      <c r="H206" s="148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50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</row>
    <row r="207" spans="1:40" outlineLevel="1">
      <c r="A207" s="148" t="s">
        <v>126</v>
      </c>
      <c r="B207" s="148"/>
      <c r="C207" s="148"/>
      <c r="D207" s="148"/>
      <c r="E207" s="148"/>
      <c r="F207" s="148"/>
      <c r="G207" s="148"/>
      <c r="H207" s="148"/>
      <c r="I207" s="149">
        <f t="shared" ref="I207:T207" si="40">SUBTOTAL(9,I12:I206)</f>
        <v>14064635.686999999</v>
      </c>
      <c r="J207" s="149">
        <f t="shared" si="40"/>
        <v>92684658.238999993</v>
      </c>
      <c r="K207" s="149">
        <f t="shared" si="40"/>
        <v>21780757.577999998</v>
      </c>
      <c r="L207" s="149">
        <f t="shared" si="40"/>
        <v>25696875.686999999</v>
      </c>
      <c r="M207" s="149">
        <f t="shared" si="40"/>
        <v>41515518.239</v>
      </c>
      <c r="N207" s="149">
        <f t="shared" si="40"/>
        <v>22280990.577999998</v>
      </c>
      <c r="O207" s="149">
        <f t="shared" si="40"/>
        <v>15581378.686999999</v>
      </c>
      <c r="P207" s="149">
        <f t="shared" si="40"/>
        <v>12549407.239</v>
      </c>
      <c r="Q207" s="149">
        <f t="shared" si="40"/>
        <v>32567122.578000002</v>
      </c>
      <c r="R207" s="149">
        <f t="shared" si="40"/>
        <v>17811504.686999999</v>
      </c>
      <c r="S207" s="149">
        <f t="shared" si="40"/>
        <v>23292271.239</v>
      </c>
      <c r="T207" s="149">
        <f t="shared" si="40"/>
        <v>128828441.002</v>
      </c>
      <c r="U207" s="150">
        <f>SUBTOTAL(9,U12:U206)</f>
        <v>448653561.44</v>
      </c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</row>
    <row r="208" spans="1:40">
      <c r="A208" s="148"/>
      <c r="B208" s="148"/>
      <c r="C208" s="148"/>
      <c r="D208" s="148"/>
      <c r="E208" s="148"/>
      <c r="F208" s="148"/>
      <c r="G208" s="148"/>
      <c r="H208" s="148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99" t="s">
        <v>403</v>
      </c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</row>
    <row r="211" spans="1:22" ht="15.75" thickBot="1">
      <c r="A211" s="141"/>
      <c r="B211" s="141"/>
      <c r="C211" s="141"/>
      <c r="D211" s="141"/>
      <c r="E211" s="141"/>
      <c r="F211" s="141"/>
      <c r="G211" s="142"/>
      <c r="H211" s="141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</row>
    <row r="212" spans="1:22">
      <c r="A212" s="135" t="s">
        <v>377</v>
      </c>
      <c r="I212" s="144">
        <f t="shared" ref="I212:T212" si="41">I207</f>
        <v>14064635.686999999</v>
      </c>
      <c r="J212" s="144">
        <f t="shared" si="41"/>
        <v>92684658.238999993</v>
      </c>
      <c r="K212" s="144">
        <f t="shared" si="41"/>
        <v>21780757.577999998</v>
      </c>
      <c r="L212" s="144">
        <f t="shared" si="41"/>
        <v>25696875.686999999</v>
      </c>
      <c r="M212" s="144">
        <f t="shared" si="41"/>
        <v>41515518.239</v>
      </c>
      <c r="N212" s="144">
        <f t="shared" si="41"/>
        <v>22280990.577999998</v>
      </c>
      <c r="O212" s="144">
        <f t="shared" si="41"/>
        <v>15581378.686999999</v>
      </c>
      <c r="P212" s="144">
        <f t="shared" si="41"/>
        <v>12549407.239</v>
      </c>
      <c r="Q212" s="144">
        <f t="shared" si="41"/>
        <v>32567122.578000002</v>
      </c>
      <c r="R212" s="144">
        <f t="shared" si="41"/>
        <v>17811504.686999999</v>
      </c>
      <c r="S212" s="144">
        <f t="shared" si="41"/>
        <v>23292271.239</v>
      </c>
      <c r="T212" s="144">
        <f t="shared" si="41"/>
        <v>128828441.002</v>
      </c>
      <c r="U212" s="144">
        <f>U207</f>
        <v>448653561.44</v>
      </c>
    </row>
    <row r="214" spans="1:22" ht="30.75">
      <c r="A214" s="122" t="s">
        <v>373</v>
      </c>
      <c r="V214" s="146" t="s">
        <v>376</v>
      </c>
    </row>
    <row r="215" spans="1:22">
      <c r="A215" s="136" t="s">
        <v>228</v>
      </c>
      <c r="B215" s="136" t="s">
        <v>201</v>
      </c>
      <c r="C215" s="136" t="s">
        <v>40</v>
      </c>
      <c r="D215" s="137" t="s">
        <v>407</v>
      </c>
      <c r="E215" s="138">
        <v>1002</v>
      </c>
      <c r="F215" s="136" t="s">
        <v>139</v>
      </c>
      <c r="G215" s="136" t="s">
        <v>42</v>
      </c>
      <c r="H215" s="136" t="s">
        <v>277</v>
      </c>
      <c r="I215" s="139">
        <f>$V$215*I234</f>
        <v>36070.571000000004</v>
      </c>
      <c r="J215" s="139">
        <f t="shared" ref="J215:S215" si="42">$V$215*J234</f>
        <v>36070.571000000004</v>
      </c>
      <c r="K215" s="139">
        <f t="shared" si="42"/>
        <v>36071.358</v>
      </c>
      <c r="L215" s="139">
        <f t="shared" si="42"/>
        <v>36070.571000000004</v>
      </c>
      <c r="M215" s="139">
        <f t="shared" si="42"/>
        <v>36070.571000000004</v>
      </c>
      <c r="N215" s="139">
        <f t="shared" si="42"/>
        <v>36071.358</v>
      </c>
      <c r="O215" s="139">
        <f t="shared" si="42"/>
        <v>36070.571000000004</v>
      </c>
      <c r="P215" s="139">
        <f t="shared" si="42"/>
        <v>36070.571000000004</v>
      </c>
      <c r="Q215" s="139">
        <f t="shared" si="42"/>
        <v>36071.358</v>
      </c>
      <c r="R215" s="139">
        <f t="shared" si="42"/>
        <v>36070.571000000004</v>
      </c>
      <c r="S215" s="139">
        <f t="shared" si="42"/>
        <v>36070.571000000004</v>
      </c>
      <c r="T215" s="139">
        <f>$V$215*T234</f>
        <v>36071.358</v>
      </c>
      <c r="U215" s="139">
        <f>SUM(I215:T215)</f>
        <v>432850</v>
      </c>
      <c r="V215" s="145">
        <v>0.78700000000000003</v>
      </c>
    </row>
    <row r="216" spans="1:22">
      <c r="A216" s="136" t="s">
        <v>228</v>
      </c>
      <c r="B216" s="136" t="s">
        <v>201</v>
      </c>
      <c r="C216" s="136" t="s">
        <v>40</v>
      </c>
      <c r="D216" s="137" t="s">
        <v>407</v>
      </c>
      <c r="E216" s="138">
        <v>1003</v>
      </c>
      <c r="F216" s="136" t="s">
        <v>139</v>
      </c>
      <c r="G216" s="136" t="s">
        <v>25</v>
      </c>
      <c r="H216" s="136" t="s">
        <v>277</v>
      </c>
      <c r="I216" s="139">
        <f>$V$216*I235</f>
        <v>92630.358000000007</v>
      </c>
      <c r="J216" s="139">
        <f t="shared" ref="J216:S216" si="43">$V$216*J235</f>
        <v>92630.358000000007</v>
      </c>
      <c r="K216" s="139">
        <f t="shared" si="43"/>
        <v>92631.384000000005</v>
      </c>
      <c r="L216" s="139">
        <f t="shared" si="43"/>
        <v>92630.358000000007</v>
      </c>
      <c r="M216" s="139">
        <f t="shared" si="43"/>
        <v>92630.358000000007</v>
      </c>
      <c r="N216" s="139">
        <f t="shared" si="43"/>
        <v>92631.384000000005</v>
      </c>
      <c r="O216" s="139">
        <f t="shared" si="43"/>
        <v>92630.358000000007</v>
      </c>
      <c r="P216" s="139">
        <f t="shared" si="43"/>
        <v>92630.358000000007</v>
      </c>
      <c r="Q216" s="139">
        <f t="shared" si="43"/>
        <v>92631.384000000005</v>
      </c>
      <c r="R216" s="139">
        <f t="shared" si="43"/>
        <v>92630.358000000007</v>
      </c>
      <c r="S216" s="139">
        <f t="shared" si="43"/>
        <v>92630.358000000007</v>
      </c>
      <c r="T216" s="139">
        <f>$V$216*T235</f>
        <v>92631.384000000005</v>
      </c>
      <c r="U216" s="139">
        <f>SUM(I216:T216)</f>
        <v>1111568.4000000001</v>
      </c>
      <c r="V216" s="145">
        <v>0.17100000000000001</v>
      </c>
    </row>
    <row r="217" spans="1:22">
      <c r="A217" s="136" t="s">
        <v>231</v>
      </c>
      <c r="B217" s="136" t="s">
        <v>202</v>
      </c>
      <c r="C217" s="136" t="s">
        <v>41</v>
      </c>
      <c r="D217" s="137" t="s">
        <v>407</v>
      </c>
      <c r="E217" s="138">
        <v>1050</v>
      </c>
      <c r="F217" s="136" t="s">
        <v>139</v>
      </c>
      <c r="G217" s="136" t="s">
        <v>28</v>
      </c>
      <c r="H217" s="136" t="s">
        <v>277</v>
      </c>
      <c r="I217" s="139">
        <f>$V$217*I236</f>
        <v>118899.352</v>
      </c>
      <c r="J217" s="139">
        <f t="shared" ref="J217:S217" si="44">$V$217*J236</f>
        <v>40205.799999999996</v>
      </c>
      <c r="K217" s="139">
        <f t="shared" si="44"/>
        <v>40206.224000000002</v>
      </c>
      <c r="L217" s="139">
        <f t="shared" si="44"/>
        <v>118899.352</v>
      </c>
      <c r="M217" s="139">
        <f t="shared" si="44"/>
        <v>40205.799999999996</v>
      </c>
      <c r="N217" s="139">
        <f t="shared" si="44"/>
        <v>40206.224000000002</v>
      </c>
      <c r="O217" s="139">
        <f t="shared" si="44"/>
        <v>118899.352</v>
      </c>
      <c r="P217" s="139">
        <f t="shared" si="44"/>
        <v>40205.799999999996</v>
      </c>
      <c r="Q217" s="139">
        <f t="shared" si="44"/>
        <v>40206.224000000002</v>
      </c>
      <c r="R217" s="139">
        <f t="shared" si="44"/>
        <v>118899.352</v>
      </c>
      <c r="S217" s="139">
        <f t="shared" si="44"/>
        <v>40205.799999999996</v>
      </c>
      <c r="T217" s="139">
        <f>$V$217*T236</f>
        <v>40207.072</v>
      </c>
      <c r="U217" s="139">
        <f>SUM(I217:T217)</f>
        <v>797246.35200000007</v>
      </c>
      <c r="V217" s="145">
        <v>0.42399999999999999</v>
      </c>
    </row>
    <row r="218" spans="1:22">
      <c r="A218" s="136" t="s">
        <v>231</v>
      </c>
      <c r="B218" s="136" t="s">
        <v>202</v>
      </c>
      <c r="C218" s="136" t="s">
        <v>41</v>
      </c>
      <c r="D218" s="137" t="s">
        <v>407</v>
      </c>
      <c r="E218" s="138">
        <v>1051</v>
      </c>
      <c r="F218" s="136" t="s">
        <v>139</v>
      </c>
      <c r="G218" s="136" t="s">
        <v>29</v>
      </c>
      <c r="H218" s="136" t="s">
        <v>277</v>
      </c>
      <c r="I218" s="139">
        <f>$V$218*I237</f>
        <v>11645.16</v>
      </c>
      <c r="J218" s="139">
        <f t="shared" ref="J218:T218" si="45">$V$218*J237</f>
        <v>11645.16</v>
      </c>
      <c r="K218" s="139">
        <f t="shared" si="45"/>
        <v>11645.583999999999</v>
      </c>
      <c r="L218" s="139">
        <f t="shared" si="45"/>
        <v>11645.16</v>
      </c>
      <c r="M218" s="139">
        <f t="shared" si="45"/>
        <v>11645.16</v>
      </c>
      <c r="N218" s="139">
        <f t="shared" si="45"/>
        <v>11645.583999999999</v>
      </c>
      <c r="O218" s="139">
        <f t="shared" si="45"/>
        <v>11645.16</v>
      </c>
      <c r="P218" s="139">
        <f t="shared" si="45"/>
        <v>11645.16</v>
      </c>
      <c r="Q218" s="139">
        <f t="shared" si="45"/>
        <v>11645.583999999999</v>
      </c>
      <c r="R218" s="139">
        <f t="shared" si="45"/>
        <v>11645.16</v>
      </c>
      <c r="S218" s="139">
        <f t="shared" si="45"/>
        <v>11645.16</v>
      </c>
      <c r="T218" s="139">
        <f t="shared" si="45"/>
        <v>11645.583999999999</v>
      </c>
      <c r="U218" s="139">
        <f>SUM(I218:T218)</f>
        <v>139743.61600000001</v>
      </c>
      <c r="V218" s="145">
        <v>0.42399999999999999</v>
      </c>
    </row>
    <row r="219" spans="1:22">
      <c r="A219" s="136" t="s">
        <v>231</v>
      </c>
      <c r="B219" s="136" t="s">
        <v>202</v>
      </c>
      <c r="C219" s="136" t="s">
        <v>41</v>
      </c>
      <c r="D219" s="137" t="s">
        <v>407</v>
      </c>
      <c r="E219" s="138">
        <v>1053</v>
      </c>
      <c r="F219" s="136" t="s">
        <v>139</v>
      </c>
      <c r="G219" s="136" t="s">
        <v>30</v>
      </c>
      <c r="H219" s="136" t="s">
        <v>277</v>
      </c>
      <c r="I219" s="139">
        <f>$V$219*I238</f>
        <v>23967.871999999999</v>
      </c>
      <c r="J219" s="139">
        <f t="shared" ref="J219:T219" si="46">$V$219*J238</f>
        <v>23967.871999999999</v>
      </c>
      <c r="K219" s="139">
        <f t="shared" si="46"/>
        <v>23967.871999999999</v>
      </c>
      <c r="L219" s="139">
        <f t="shared" si="46"/>
        <v>23967.871999999999</v>
      </c>
      <c r="M219" s="139">
        <f t="shared" si="46"/>
        <v>23967.871999999999</v>
      </c>
      <c r="N219" s="139">
        <f t="shared" si="46"/>
        <v>23967.871999999999</v>
      </c>
      <c r="O219" s="139">
        <f t="shared" si="46"/>
        <v>23967.871999999999</v>
      </c>
      <c r="P219" s="139">
        <f t="shared" si="46"/>
        <v>23967.871999999999</v>
      </c>
      <c r="Q219" s="139">
        <f t="shared" si="46"/>
        <v>23967.871999999999</v>
      </c>
      <c r="R219" s="139">
        <f t="shared" si="46"/>
        <v>23967.871999999999</v>
      </c>
      <c r="S219" s="139">
        <f t="shared" si="46"/>
        <v>23967.871999999999</v>
      </c>
      <c r="T219" s="139">
        <f t="shared" si="46"/>
        <v>23966.6</v>
      </c>
      <c r="U219" s="139">
        <f>SUM(I219:T219)</f>
        <v>287613.19199999998</v>
      </c>
      <c r="V219" s="145">
        <v>0.42399999999999999</v>
      </c>
    </row>
    <row r="220" spans="1:22">
      <c r="I220" s="152">
        <f t="shared" ref="I220:T220" si="47">SUM(I215:I219)</f>
        <v>283213.31300000002</v>
      </c>
      <c r="J220" s="152">
        <f t="shared" si="47"/>
        <v>204519.761</v>
      </c>
      <c r="K220" s="152">
        <f t="shared" si="47"/>
        <v>204522.42200000002</v>
      </c>
      <c r="L220" s="152">
        <f t="shared" si="47"/>
        <v>283213.31300000002</v>
      </c>
      <c r="M220" s="152">
        <f t="shared" si="47"/>
        <v>204519.761</v>
      </c>
      <c r="N220" s="152">
        <f t="shared" si="47"/>
        <v>204522.42200000002</v>
      </c>
      <c r="O220" s="152">
        <f t="shared" si="47"/>
        <v>283213.31300000002</v>
      </c>
      <c r="P220" s="152">
        <f t="shared" si="47"/>
        <v>204519.761</v>
      </c>
      <c r="Q220" s="152">
        <f t="shared" si="47"/>
        <v>204522.42200000002</v>
      </c>
      <c r="R220" s="152">
        <f t="shared" si="47"/>
        <v>283213.31300000002</v>
      </c>
      <c r="S220" s="152">
        <f t="shared" si="47"/>
        <v>204519.761</v>
      </c>
      <c r="T220" s="152">
        <f t="shared" si="47"/>
        <v>204521.99800000002</v>
      </c>
      <c r="U220" s="152">
        <f>SUM(U215:U219)</f>
        <v>2769021.56</v>
      </c>
    </row>
    <row r="221" spans="1:22"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</row>
    <row r="222" spans="1:22" ht="15.75">
      <c r="A222" s="122" t="s">
        <v>374</v>
      </c>
    </row>
    <row r="223" spans="1:22" ht="13.5" customHeight="1">
      <c r="A223" s="136" t="s">
        <v>228</v>
      </c>
      <c r="B223" s="136" t="s">
        <v>201</v>
      </c>
      <c r="C223" s="136" t="s">
        <v>40</v>
      </c>
      <c r="D223" s="137" t="s">
        <v>407</v>
      </c>
      <c r="E223" s="138">
        <v>1000</v>
      </c>
      <c r="F223" s="136" t="s">
        <v>139</v>
      </c>
      <c r="G223" s="136" t="s">
        <v>23</v>
      </c>
      <c r="H223" s="136" t="s">
        <v>277</v>
      </c>
      <c r="I223" s="139">
        <v>1121359</v>
      </c>
      <c r="J223" s="139">
        <v>872274</v>
      </c>
      <c r="K223" s="139">
        <v>919869</v>
      </c>
      <c r="L223" s="139">
        <v>992208</v>
      </c>
      <c r="M223" s="139">
        <v>1060372</v>
      </c>
      <c r="N223" s="139">
        <v>1184569</v>
      </c>
      <c r="O223" s="139">
        <v>1472869</v>
      </c>
      <c r="P223" s="139">
        <v>1114101</v>
      </c>
      <c r="Q223" s="139">
        <v>1131886</v>
      </c>
      <c r="R223" s="139">
        <v>1095596</v>
      </c>
      <c r="S223" s="139">
        <v>1060120</v>
      </c>
      <c r="T223" s="139">
        <v>984878</v>
      </c>
      <c r="U223" s="139">
        <f>SUM(I223:T223)</f>
        <v>13010101</v>
      </c>
    </row>
    <row r="224" spans="1:22">
      <c r="A224" s="136" t="s">
        <v>231</v>
      </c>
      <c r="B224" s="136" t="s">
        <v>202</v>
      </c>
      <c r="C224" s="136" t="s">
        <v>41</v>
      </c>
      <c r="D224" s="137" t="s">
        <v>407</v>
      </c>
      <c r="E224" s="138">
        <v>1001</v>
      </c>
      <c r="F224" s="136" t="s">
        <v>139</v>
      </c>
      <c r="G224" s="136" t="s">
        <v>24</v>
      </c>
      <c r="H224" s="136" t="s">
        <v>277</v>
      </c>
      <c r="I224" s="139">
        <v>798048</v>
      </c>
      <c r="J224" s="139">
        <v>703751</v>
      </c>
      <c r="K224" s="139">
        <v>854419</v>
      </c>
      <c r="L224" s="139">
        <v>965341</v>
      </c>
      <c r="M224" s="139">
        <v>1111606</v>
      </c>
      <c r="N224" s="139">
        <v>1347779</v>
      </c>
      <c r="O224" s="139">
        <v>1420051</v>
      </c>
      <c r="P224" s="139">
        <v>1310690</v>
      </c>
      <c r="Q224" s="139">
        <v>1317423</v>
      </c>
      <c r="R224" s="139">
        <v>1209109</v>
      </c>
      <c r="S224" s="139">
        <v>1037765</v>
      </c>
      <c r="T224" s="139">
        <v>1267419</v>
      </c>
      <c r="U224" s="139">
        <f>SUM(I224:T224)</f>
        <v>13343401</v>
      </c>
    </row>
    <row r="225" spans="1:22">
      <c r="A225" s="136" t="s">
        <v>228</v>
      </c>
      <c r="B225" s="136" t="s">
        <v>201</v>
      </c>
      <c r="C225" s="136" t="s">
        <v>40</v>
      </c>
      <c r="D225" s="137" t="s">
        <v>407</v>
      </c>
      <c r="E225" s="138">
        <v>1004</v>
      </c>
      <c r="F225" s="136" t="s">
        <v>139</v>
      </c>
      <c r="G225" s="136" t="s">
        <v>43</v>
      </c>
      <c r="H225" s="136" t="s">
        <v>277</v>
      </c>
      <c r="I225" s="139">
        <v>60463</v>
      </c>
      <c r="J225" s="139">
        <v>48128</v>
      </c>
      <c r="K225" s="139">
        <v>48896</v>
      </c>
      <c r="L225" s="139">
        <v>53035</v>
      </c>
      <c r="M225" s="139">
        <v>59673</v>
      </c>
      <c r="N225" s="139">
        <v>57230</v>
      </c>
      <c r="O225" s="139">
        <v>68803</v>
      </c>
      <c r="P225" s="139">
        <v>58596</v>
      </c>
      <c r="Q225" s="139">
        <v>59478</v>
      </c>
      <c r="R225" s="139">
        <v>61975</v>
      </c>
      <c r="S225" s="139">
        <v>54249</v>
      </c>
      <c r="T225" s="139">
        <v>69475</v>
      </c>
      <c r="U225" s="139">
        <f>SUM(I225:T225)</f>
        <v>700001</v>
      </c>
    </row>
    <row r="226" spans="1:22">
      <c r="A226" s="136" t="s">
        <v>228</v>
      </c>
      <c r="B226" s="136" t="s">
        <v>201</v>
      </c>
      <c r="C226" s="136" t="s">
        <v>40</v>
      </c>
      <c r="D226" s="137" t="s">
        <v>407</v>
      </c>
      <c r="E226" s="138">
        <v>1005</v>
      </c>
      <c r="F226" s="136" t="s">
        <v>139</v>
      </c>
      <c r="G226" s="136" t="s">
        <v>26</v>
      </c>
      <c r="H226" s="136" t="s">
        <v>277</v>
      </c>
      <c r="I226" s="139">
        <v>51770</v>
      </c>
      <c r="J226" s="139">
        <v>40294</v>
      </c>
      <c r="K226" s="139">
        <v>42415</v>
      </c>
      <c r="L226" s="139">
        <v>45755</v>
      </c>
      <c r="M226" s="139">
        <v>48989</v>
      </c>
      <c r="N226" s="139">
        <v>54397</v>
      </c>
      <c r="O226" s="139">
        <v>67592</v>
      </c>
      <c r="P226" s="139">
        <v>51312</v>
      </c>
      <c r="Q226" s="139">
        <v>52130</v>
      </c>
      <c r="R226" s="139">
        <v>50617</v>
      </c>
      <c r="S226" s="139">
        <v>48806</v>
      </c>
      <c r="T226" s="139">
        <v>45925</v>
      </c>
      <c r="U226" s="139">
        <f>SUM(I226:T226)</f>
        <v>600002</v>
      </c>
    </row>
    <row r="227" spans="1:22">
      <c r="A227" s="136" t="s">
        <v>228</v>
      </c>
      <c r="B227" s="136" t="s">
        <v>201</v>
      </c>
      <c r="C227" s="136" t="s">
        <v>39</v>
      </c>
      <c r="D227" s="137" t="s">
        <v>407</v>
      </c>
      <c r="E227" s="138">
        <v>1009</v>
      </c>
      <c r="F227" s="136" t="s">
        <v>139</v>
      </c>
      <c r="G227" s="136" t="s">
        <v>3</v>
      </c>
      <c r="H227" s="136" t="s">
        <v>277</v>
      </c>
      <c r="I227" s="139">
        <v>0</v>
      </c>
      <c r="J227" s="139">
        <v>0</v>
      </c>
      <c r="K227" s="139">
        <v>184000</v>
      </c>
      <c r="L227" s="139">
        <v>184000</v>
      </c>
      <c r="M227" s="139">
        <v>184000</v>
      </c>
      <c r="N227" s="139">
        <v>184000</v>
      </c>
      <c r="O227" s="139">
        <v>184000</v>
      </c>
      <c r="P227" s="139">
        <v>0</v>
      </c>
      <c r="Q227" s="139">
        <v>0</v>
      </c>
      <c r="R227" s="139">
        <v>0</v>
      </c>
      <c r="S227" s="139">
        <v>0</v>
      </c>
      <c r="T227" s="139">
        <v>0</v>
      </c>
      <c r="U227" s="139">
        <f>SUM(I227:T227)</f>
        <v>920000</v>
      </c>
    </row>
    <row r="228" spans="1:22">
      <c r="I228" s="152">
        <f t="shared" ref="I228:T228" si="48">SUM(I223:I227)</f>
        <v>2031640</v>
      </c>
      <c r="J228" s="152">
        <f t="shared" si="48"/>
        <v>1664447</v>
      </c>
      <c r="K228" s="152">
        <f t="shared" si="48"/>
        <v>2049599</v>
      </c>
      <c r="L228" s="152">
        <f t="shared" si="48"/>
        <v>2240339</v>
      </c>
      <c r="M228" s="152">
        <f t="shared" si="48"/>
        <v>2464640</v>
      </c>
      <c r="N228" s="152">
        <f t="shared" si="48"/>
        <v>2827975</v>
      </c>
      <c r="O228" s="152">
        <f t="shared" si="48"/>
        <v>3213315</v>
      </c>
      <c r="P228" s="152">
        <f t="shared" si="48"/>
        <v>2534699</v>
      </c>
      <c r="Q228" s="152">
        <f t="shared" si="48"/>
        <v>2560917</v>
      </c>
      <c r="R228" s="152">
        <f t="shared" si="48"/>
        <v>2417297</v>
      </c>
      <c r="S228" s="152">
        <f t="shared" si="48"/>
        <v>2200940</v>
      </c>
      <c r="T228" s="152">
        <f t="shared" si="48"/>
        <v>2367697</v>
      </c>
      <c r="U228" s="152">
        <f>SUM(U223:U227)</f>
        <v>28573505</v>
      </c>
    </row>
    <row r="229" spans="1:22"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</row>
    <row r="230" spans="1:22" ht="15.75" thickBot="1">
      <c r="A230" s="135" t="s">
        <v>384</v>
      </c>
      <c r="I230" s="147">
        <f>I228+I220+I212</f>
        <v>16379489</v>
      </c>
      <c r="J230" s="147">
        <f t="shared" ref="J230:T230" si="49">J228+J220+J212</f>
        <v>94553625</v>
      </c>
      <c r="K230" s="147">
        <f t="shared" si="49"/>
        <v>24034879</v>
      </c>
      <c r="L230" s="147">
        <f t="shared" si="49"/>
        <v>28220428</v>
      </c>
      <c r="M230" s="147">
        <f t="shared" si="49"/>
        <v>44184678</v>
      </c>
      <c r="N230" s="147">
        <f t="shared" si="49"/>
        <v>25313488</v>
      </c>
      <c r="O230" s="147">
        <f t="shared" si="49"/>
        <v>19077907</v>
      </c>
      <c r="P230" s="147">
        <f t="shared" si="49"/>
        <v>15288626</v>
      </c>
      <c r="Q230" s="147">
        <f t="shared" si="49"/>
        <v>35332562</v>
      </c>
      <c r="R230" s="147">
        <f t="shared" si="49"/>
        <v>20512015</v>
      </c>
      <c r="S230" s="147">
        <f t="shared" si="49"/>
        <v>25697731</v>
      </c>
      <c r="T230" s="147">
        <f t="shared" si="49"/>
        <v>131400660</v>
      </c>
      <c r="U230" s="147">
        <f>U228+U220+U212</f>
        <v>479996088</v>
      </c>
    </row>
    <row r="231" spans="1:22">
      <c r="U231" s="127">
        <f>U6-U230</f>
        <v>0</v>
      </c>
    </row>
    <row r="233" spans="1:22" ht="15.75">
      <c r="A233" s="123" t="s">
        <v>375</v>
      </c>
    </row>
    <row r="234" spans="1:22">
      <c r="A234" s="136" t="s">
        <v>228</v>
      </c>
      <c r="B234" s="136" t="s">
        <v>201</v>
      </c>
      <c r="C234" s="136" t="s">
        <v>40</v>
      </c>
      <c r="D234" s="137" t="s">
        <v>407</v>
      </c>
      <c r="E234" s="138">
        <v>1002</v>
      </c>
      <c r="F234" s="136" t="s">
        <v>139</v>
      </c>
      <c r="G234" s="136" t="s">
        <v>42</v>
      </c>
      <c r="H234" s="136" t="s">
        <v>277</v>
      </c>
      <c r="I234" s="139">
        <v>45833</v>
      </c>
      <c r="J234" s="139">
        <v>45833</v>
      </c>
      <c r="K234" s="139">
        <v>45834</v>
      </c>
      <c r="L234" s="139">
        <v>45833</v>
      </c>
      <c r="M234" s="139">
        <v>45833</v>
      </c>
      <c r="N234" s="139">
        <v>45834</v>
      </c>
      <c r="O234" s="139">
        <v>45833</v>
      </c>
      <c r="P234" s="139">
        <v>45833</v>
      </c>
      <c r="Q234" s="139">
        <v>45834</v>
      </c>
      <c r="R234" s="139">
        <v>45833</v>
      </c>
      <c r="S234" s="139">
        <v>45833</v>
      </c>
      <c r="T234" s="139">
        <v>45834</v>
      </c>
      <c r="U234" s="139">
        <f>SUM(I234:T234)</f>
        <v>550000</v>
      </c>
      <c r="V234" s="145">
        <v>0.21299999999999999</v>
      </c>
    </row>
    <row r="235" spans="1:22">
      <c r="A235" s="136" t="s">
        <v>228</v>
      </c>
      <c r="B235" s="136" t="s">
        <v>201</v>
      </c>
      <c r="C235" s="136" t="s">
        <v>40</v>
      </c>
      <c r="D235" s="137" t="s">
        <v>407</v>
      </c>
      <c r="E235" s="138">
        <v>1003</v>
      </c>
      <c r="F235" s="136" t="s">
        <v>139</v>
      </c>
      <c r="G235" s="136" t="s">
        <v>25</v>
      </c>
      <c r="H235" s="136" t="s">
        <v>277</v>
      </c>
      <c r="I235" s="139">
        <v>541698</v>
      </c>
      <c r="J235" s="139">
        <v>541698</v>
      </c>
      <c r="K235" s="139">
        <v>541704</v>
      </c>
      <c r="L235" s="139">
        <v>541698</v>
      </c>
      <c r="M235" s="139">
        <v>541698</v>
      </c>
      <c r="N235" s="139">
        <v>541704</v>
      </c>
      <c r="O235" s="139">
        <v>541698</v>
      </c>
      <c r="P235" s="139">
        <v>541698</v>
      </c>
      <c r="Q235" s="139">
        <v>541704</v>
      </c>
      <c r="R235" s="139">
        <v>541698</v>
      </c>
      <c r="S235" s="139">
        <v>541698</v>
      </c>
      <c r="T235" s="139">
        <v>541704</v>
      </c>
      <c r="U235" s="139">
        <f>SUM(I235:T235)</f>
        <v>6500400</v>
      </c>
      <c r="V235" s="145">
        <v>0.82899999999999996</v>
      </c>
    </row>
    <row r="236" spans="1:22">
      <c r="A236" s="136" t="s">
        <v>231</v>
      </c>
      <c r="B236" s="136" t="s">
        <v>202</v>
      </c>
      <c r="C236" s="136" t="s">
        <v>41</v>
      </c>
      <c r="D236" s="137" t="s">
        <v>407</v>
      </c>
      <c r="E236" s="138">
        <v>1050</v>
      </c>
      <c r="F236" s="136" t="s">
        <v>139</v>
      </c>
      <c r="G236" s="136" t="s">
        <v>28</v>
      </c>
      <c r="H236" s="136" t="s">
        <v>277</v>
      </c>
      <c r="I236" s="139">
        <v>280423</v>
      </c>
      <c r="J236" s="139">
        <v>94825</v>
      </c>
      <c r="K236" s="139">
        <v>94826</v>
      </c>
      <c r="L236" s="139">
        <v>280423</v>
      </c>
      <c r="M236" s="139">
        <v>94825</v>
      </c>
      <c r="N236" s="139">
        <v>94826</v>
      </c>
      <c r="O236" s="139">
        <v>280423</v>
      </c>
      <c r="P236" s="139">
        <v>94825</v>
      </c>
      <c r="Q236" s="139">
        <v>94826</v>
      </c>
      <c r="R236" s="139">
        <v>280423</v>
      </c>
      <c r="S236" s="139">
        <v>94825</v>
      </c>
      <c r="T236" s="139">
        <v>94828</v>
      </c>
      <c r="U236" s="139">
        <f>SUM(I236:T236)</f>
        <v>1880298</v>
      </c>
      <c r="V236" s="145">
        <v>0.57599999999999996</v>
      </c>
    </row>
    <row r="237" spans="1:22">
      <c r="A237" s="136" t="s">
        <v>231</v>
      </c>
      <c r="B237" s="136" t="s">
        <v>202</v>
      </c>
      <c r="C237" s="136" t="s">
        <v>41</v>
      </c>
      <c r="D237" s="137" t="s">
        <v>407</v>
      </c>
      <c r="E237" s="138">
        <v>1051</v>
      </c>
      <c r="F237" s="136" t="s">
        <v>139</v>
      </c>
      <c r="G237" s="136" t="s">
        <v>29</v>
      </c>
      <c r="H237" s="136" t="s">
        <v>277</v>
      </c>
      <c r="I237" s="139">
        <v>27465</v>
      </c>
      <c r="J237" s="139">
        <v>27465</v>
      </c>
      <c r="K237" s="139">
        <v>27466</v>
      </c>
      <c r="L237" s="139">
        <v>27465</v>
      </c>
      <c r="M237" s="139">
        <v>27465</v>
      </c>
      <c r="N237" s="139">
        <v>27466</v>
      </c>
      <c r="O237" s="139">
        <v>27465</v>
      </c>
      <c r="P237" s="139">
        <v>27465</v>
      </c>
      <c r="Q237" s="139">
        <v>27466</v>
      </c>
      <c r="R237" s="139">
        <v>27465</v>
      </c>
      <c r="S237" s="139">
        <v>27465</v>
      </c>
      <c r="T237" s="139">
        <v>27466</v>
      </c>
      <c r="U237" s="139">
        <f>SUM(I237:T237)</f>
        <v>329584</v>
      </c>
      <c r="V237" s="145">
        <v>0.57599999999999996</v>
      </c>
    </row>
    <row r="238" spans="1:22">
      <c r="A238" s="136" t="s">
        <v>231</v>
      </c>
      <c r="B238" s="136" t="s">
        <v>202</v>
      </c>
      <c r="C238" s="136" t="s">
        <v>41</v>
      </c>
      <c r="D238" s="137" t="s">
        <v>407</v>
      </c>
      <c r="E238" s="138">
        <v>1053</v>
      </c>
      <c r="F238" s="136" t="s">
        <v>139</v>
      </c>
      <c r="G238" s="136" t="s">
        <v>30</v>
      </c>
      <c r="H238" s="136" t="s">
        <v>277</v>
      </c>
      <c r="I238" s="139">
        <v>56528</v>
      </c>
      <c r="J238" s="139">
        <v>56528</v>
      </c>
      <c r="K238" s="139">
        <v>56528</v>
      </c>
      <c r="L238" s="139">
        <v>56528</v>
      </c>
      <c r="M238" s="139">
        <v>56528</v>
      </c>
      <c r="N238" s="139">
        <v>56528</v>
      </c>
      <c r="O238" s="139">
        <v>56528</v>
      </c>
      <c r="P238" s="139">
        <v>56528</v>
      </c>
      <c r="Q238" s="139">
        <v>56528</v>
      </c>
      <c r="R238" s="139">
        <v>56528</v>
      </c>
      <c r="S238" s="139">
        <v>56528</v>
      </c>
      <c r="T238" s="139">
        <v>56525</v>
      </c>
      <c r="U238" s="139">
        <f>SUM(I238:T238)</f>
        <v>678333</v>
      </c>
      <c r="V238" s="145">
        <v>0.57599999999999996</v>
      </c>
    </row>
  </sheetData>
  <sortState ref="A9:AN163">
    <sortCondition ref="A9:A163"/>
    <sortCondition ref="B9:B163"/>
    <sortCondition ref="C9:C163"/>
  </sortState>
  <printOptions horizontalCentered="1"/>
  <pageMargins left="0" right="0" top="0.5" bottom="0.5" header="0.3" footer="0.3"/>
  <pageSetup scale="44" fitToHeight="0" orientation="landscape" r:id="rId1"/>
  <headerFooter>
    <oddFooter>&amp;Cpage &amp;P of &amp;N&amp;R&amp;F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238"/>
  <sheetViews>
    <sheetView zoomScale="80" zoomScaleNormal="80" zoomScaleSheetLayoutView="80" workbookViewId="0">
      <pane xSplit="6" ySplit="9" topLeftCell="G170" activePane="bottomRight" state="frozen"/>
      <selection pane="topRight" activeCell="C1" sqref="C1"/>
      <selection pane="bottomLeft" activeCell="A4" sqref="A4"/>
      <selection pane="bottomRight" activeCell="U186" sqref="U186"/>
    </sheetView>
  </sheetViews>
  <sheetFormatPr defaultRowHeight="15" outlineLevelRow="2"/>
  <cols>
    <col min="1" max="1" width="38" style="124" customWidth="1"/>
    <col min="2" max="3" width="6.85546875" style="124" customWidth="1"/>
    <col min="4" max="4" width="39" style="124" customWidth="1"/>
    <col min="5" max="5" width="8" style="124" customWidth="1"/>
    <col min="6" max="6" width="16.5703125" style="124" bestFit="1" customWidth="1"/>
    <col min="7" max="7" width="59.7109375" style="125" bestFit="1" customWidth="1"/>
    <col min="8" max="8" width="12.140625" style="124" customWidth="1"/>
    <col min="9" max="16" width="17.140625" style="127" hidden="1" customWidth="1"/>
    <col min="17" max="17" width="19.28515625" style="127" hidden="1" customWidth="1"/>
    <col min="18" max="19" width="16.5703125" style="127" hidden="1" customWidth="1"/>
    <col min="20" max="20" width="20.5703125" style="127" hidden="1" customWidth="1"/>
    <col min="21" max="21" width="21.28515625" style="127" bestFit="1" customWidth="1"/>
    <col min="22" max="22" width="12.42578125" style="124" customWidth="1"/>
    <col min="23" max="23" width="10.42578125" style="124" customWidth="1"/>
    <col min="24" max="24" width="16.85546875" style="124" bestFit="1" customWidth="1"/>
    <col min="25" max="25" width="16.140625" style="124" bestFit="1" customWidth="1"/>
    <col min="26" max="26" width="20.85546875" style="124" bestFit="1" customWidth="1"/>
    <col min="27" max="27" width="19.5703125" style="124" bestFit="1" customWidth="1"/>
    <col min="28" max="16384" width="9.140625" style="124"/>
  </cols>
  <sheetData>
    <row r="1" spans="1:40">
      <c r="I1" s="126"/>
      <c r="U1" s="128">
        <v>41975</v>
      </c>
    </row>
    <row r="2" spans="1:40">
      <c r="I2" s="126"/>
      <c r="U2" s="127">
        <v>471199413</v>
      </c>
      <c r="V2" s="124" t="s">
        <v>370</v>
      </c>
    </row>
    <row r="3" spans="1:40">
      <c r="I3" s="126"/>
      <c r="U3" s="127">
        <f>-472103</f>
        <v>-472103</v>
      </c>
      <c r="V3" s="124" t="s">
        <v>371</v>
      </c>
    </row>
    <row r="4" spans="1:40">
      <c r="I4" s="126"/>
      <c r="U4" s="127">
        <v>-10000012</v>
      </c>
      <c r="V4" s="124" t="s">
        <v>494</v>
      </c>
    </row>
    <row r="5" spans="1:40">
      <c r="I5" s="126"/>
      <c r="U5" s="127">
        <f>11828374+7440416</f>
        <v>19268790</v>
      </c>
      <c r="V5" s="124" t="s">
        <v>495</v>
      </c>
    </row>
    <row r="6" spans="1:40">
      <c r="I6" s="126"/>
      <c r="U6" s="129">
        <f>SUM(U2:U5)</f>
        <v>479996088</v>
      </c>
      <c r="V6" s="124" t="s">
        <v>372</v>
      </c>
    </row>
    <row r="7" spans="1:40">
      <c r="G7" s="130"/>
      <c r="U7" s="131">
        <v>0</v>
      </c>
    </row>
    <row r="8" spans="1:40">
      <c r="F8" s="128"/>
      <c r="G8" s="130"/>
      <c r="U8" s="131"/>
    </row>
    <row r="9" spans="1:40" s="135" customFormat="1" ht="60">
      <c r="A9" s="132" t="s">
        <v>314</v>
      </c>
      <c r="B9" s="132" t="s">
        <v>313</v>
      </c>
      <c r="C9" s="132" t="s">
        <v>312</v>
      </c>
      <c r="D9" s="132" t="s">
        <v>270</v>
      </c>
      <c r="E9" s="132" t="s">
        <v>22</v>
      </c>
      <c r="F9" s="132" t="s">
        <v>311</v>
      </c>
      <c r="G9" s="132" t="s">
        <v>38</v>
      </c>
      <c r="H9" s="132" t="s">
        <v>275</v>
      </c>
      <c r="I9" s="133" t="s">
        <v>7</v>
      </c>
      <c r="J9" s="133" t="s">
        <v>8</v>
      </c>
      <c r="K9" s="133" t="s">
        <v>9</v>
      </c>
      <c r="L9" s="133" t="s">
        <v>10</v>
      </c>
      <c r="M9" s="133" t="s">
        <v>11</v>
      </c>
      <c r="N9" s="133" t="s">
        <v>12</v>
      </c>
      <c r="O9" s="133" t="s">
        <v>13</v>
      </c>
      <c r="P9" s="133" t="s">
        <v>14</v>
      </c>
      <c r="Q9" s="133" t="s">
        <v>15</v>
      </c>
      <c r="R9" s="133" t="s">
        <v>16</v>
      </c>
      <c r="S9" s="133" t="s">
        <v>17</v>
      </c>
      <c r="T9" s="133" t="s">
        <v>18</v>
      </c>
      <c r="U9" s="134" t="s">
        <v>134</v>
      </c>
      <c r="V9" s="135" t="s">
        <v>503</v>
      </c>
      <c r="W9" s="135" t="s">
        <v>504</v>
      </c>
      <c r="X9" s="135" t="s">
        <v>496</v>
      </c>
      <c r="Y9" s="135" t="s">
        <v>497</v>
      </c>
      <c r="Z9" s="214" t="s">
        <v>512</v>
      </c>
      <c r="AA9" s="214" t="s">
        <v>513</v>
      </c>
    </row>
    <row r="10" spans="1:40" s="151" customFormat="1">
      <c r="A10" s="148"/>
      <c r="B10" s="148"/>
      <c r="C10" s="148"/>
      <c r="D10" s="148"/>
      <c r="E10" s="148"/>
      <c r="F10" s="148"/>
      <c r="G10" s="148"/>
      <c r="H10" s="148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0"/>
      <c r="V10" s="140"/>
    </row>
    <row r="12" spans="1:40" s="135" customFormat="1" outlineLevel="2">
      <c r="A12" s="136" t="s">
        <v>228</v>
      </c>
      <c r="B12" s="136" t="s">
        <v>203</v>
      </c>
      <c r="C12" s="136" t="s">
        <v>40</v>
      </c>
      <c r="D12" s="137" t="s">
        <v>367</v>
      </c>
      <c r="E12" s="138">
        <v>2585</v>
      </c>
      <c r="F12" s="136" t="s">
        <v>143</v>
      </c>
      <c r="G12" s="136" t="s">
        <v>367</v>
      </c>
      <c r="H12" s="136" t="s">
        <v>278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f>SUM(I12:T12)</f>
        <v>0</v>
      </c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</row>
    <row r="13" spans="1:40" s="135" customFormat="1" outlineLevel="1">
      <c r="A13" s="136"/>
      <c r="B13" s="136"/>
      <c r="C13" s="155" t="s">
        <v>294</v>
      </c>
      <c r="D13" s="137"/>
      <c r="E13" s="138"/>
      <c r="F13" s="136"/>
      <c r="G13" s="136"/>
      <c r="H13" s="136"/>
      <c r="I13" s="186">
        <f t="shared" ref="I13:U13" si="0">SUBTOTAL(9,I12:I12)</f>
        <v>0</v>
      </c>
      <c r="J13" s="186">
        <f t="shared" si="0"/>
        <v>0</v>
      </c>
      <c r="K13" s="186">
        <f t="shared" si="0"/>
        <v>0</v>
      </c>
      <c r="L13" s="186">
        <f t="shared" si="0"/>
        <v>0</v>
      </c>
      <c r="M13" s="186">
        <f t="shared" si="0"/>
        <v>0</v>
      </c>
      <c r="N13" s="186">
        <f t="shared" si="0"/>
        <v>0</v>
      </c>
      <c r="O13" s="186">
        <f t="shared" si="0"/>
        <v>0</v>
      </c>
      <c r="P13" s="186">
        <f t="shared" si="0"/>
        <v>0</v>
      </c>
      <c r="Q13" s="186">
        <f t="shared" si="0"/>
        <v>0</v>
      </c>
      <c r="R13" s="186">
        <f t="shared" si="0"/>
        <v>0</v>
      </c>
      <c r="S13" s="186">
        <f t="shared" si="0"/>
        <v>0</v>
      </c>
      <c r="T13" s="186">
        <f t="shared" si="0"/>
        <v>0</v>
      </c>
      <c r="U13" s="186">
        <f t="shared" si="0"/>
        <v>0</v>
      </c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</row>
    <row r="14" spans="1:40" s="135" customFormat="1" outlineLevel="2">
      <c r="A14" s="136" t="s">
        <v>228</v>
      </c>
      <c r="B14" s="136" t="s">
        <v>201</v>
      </c>
      <c r="C14" s="136" t="s">
        <v>40</v>
      </c>
      <c r="D14" s="137" t="s">
        <v>407</v>
      </c>
      <c r="E14" s="138">
        <v>1002</v>
      </c>
      <c r="F14" s="136" t="s">
        <v>139</v>
      </c>
      <c r="G14" s="136" t="s">
        <v>42</v>
      </c>
      <c r="H14" s="136" t="s">
        <v>277</v>
      </c>
      <c r="I14" s="139">
        <f>I234*$V$234</f>
        <v>9762.4290000000001</v>
      </c>
      <c r="J14" s="139">
        <f t="shared" ref="J14:T14" si="1">J234*$V$234</f>
        <v>9762.4290000000001</v>
      </c>
      <c r="K14" s="139">
        <f t="shared" si="1"/>
        <v>9762.6419999999998</v>
      </c>
      <c r="L14" s="139">
        <f t="shared" si="1"/>
        <v>9762.4290000000001</v>
      </c>
      <c r="M14" s="139">
        <f t="shared" si="1"/>
        <v>9762.4290000000001</v>
      </c>
      <c r="N14" s="139">
        <f t="shared" si="1"/>
        <v>9762.6419999999998</v>
      </c>
      <c r="O14" s="139">
        <f t="shared" si="1"/>
        <v>9762.4290000000001</v>
      </c>
      <c r="P14" s="139">
        <f t="shared" si="1"/>
        <v>9762.4290000000001</v>
      </c>
      <c r="Q14" s="139">
        <f t="shared" si="1"/>
        <v>9762.6419999999998</v>
      </c>
      <c r="R14" s="139">
        <f t="shared" si="1"/>
        <v>9762.4290000000001</v>
      </c>
      <c r="S14" s="139">
        <f t="shared" si="1"/>
        <v>9762.4290000000001</v>
      </c>
      <c r="T14" s="139">
        <f t="shared" si="1"/>
        <v>9762.6419999999998</v>
      </c>
      <c r="U14" s="139">
        <f t="shared" ref="U14:U38" si="2">SUM(I14:T14)</f>
        <v>117150</v>
      </c>
      <c r="V14" s="124">
        <f>'CAP15.1-Allocations'!$C$121</f>
        <v>0.65190000000000003</v>
      </c>
      <c r="W14" s="145">
        <v>0</v>
      </c>
      <c r="X14" s="204">
        <f>U14*V14</f>
        <v>76370.085000000006</v>
      </c>
      <c r="Y14" s="204">
        <f>U14*W14</f>
        <v>0</v>
      </c>
      <c r="Z14" s="217">
        <f>IF(X14&gt;'Major critera'!$B$4,X14,0)</f>
        <v>0</v>
      </c>
      <c r="AA14" s="217">
        <f>IF(Y14&gt;'Major critera'!$C$4,Y14,0)</f>
        <v>0</v>
      </c>
    </row>
    <row r="15" spans="1:40" s="135" customFormat="1" outlineLevel="2">
      <c r="A15" s="136" t="s">
        <v>228</v>
      </c>
      <c r="B15" s="136" t="s">
        <v>201</v>
      </c>
      <c r="C15" s="136" t="s">
        <v>40</v>
      </c>
      <c r="D15" s="137" t="s">
        <v>407</v>
      </c>
      <c r="E15" s="138">
        <v>1003</v>
      </c>
      <c r="F15" s="136" t="s">
        <v>139</v>
      </c>
      <c r="G15" s="136" t="s">
        <v>25</v>
      </c>
      <c r="H15" s="136" t="s">
        <v>277</v>
      </c>
      <c r="I15" s="139">
        <f>I235*$V$235</f>
        <v>449067.64199999999</v>
      </c>
      <c r="J15" s="139">
        <f t="shared" ref="J15:T15" si="3">J235*$V$235</f>
        <v>449067.64199999999</v>
      </c>
      <c r="K15" s="139">
        <f t="shared" si="3"/>
        <v>449072.61599999998</v>
      </c>
      <c r="L15" s="139">
        <f t="shared" si="3"/>
        <v>449067.64199999999</v>
      </c>
      <c r="M15" s="139">
        <f t="shared" si="3"/>
        <v>449067.64199999999</v>
      </c>
      <c r="N15" s="139">
        <f t="shared" si="3"/>
        <v>449072.61599999998</v>
      </c>
      <c r="O15" s="139">
        <f t="shared" si="3"/>
        <v>449067.64199999999</v>
      </c>
      <c r="P15" s="139">
        <f t="shared" si="3"/>
        <v>449067.64199999999</v>
      </c>
      <c r="Q15" s="139">
        <f t="shared" si="3"/>
        <v>449072.61599999998</v>
      </c>
      <c r="R15" s="139">
        <f t="shared" si="3"/>
        <v>449067.64199999999</v>
      </c>
      <c r="S15" s="139">
        <f t="shared" si="3"/>
        <v>449067.64199999999</v>
      </c>
      <c r="T15" s="139">
        <f t="shared" si="3"/>
        <v>449072.61599999998</v>
      </c>
      <c r="U15" s="139">
        <f t="shared" si="2"/>
        <v>5388831.6000000006</v>
      </c>
      <c r="V15" s="124">
        <f>'CAP15.1-Allocations'!$C$121</f>
        <v>0.65190000000000003</v>
      </c>
      <c r="W15" s="145">
        <v>0</v>
      </c>
      <c r="X15" s="204">
        <f t="shared" ref="X15:X38" si="4">U15*V15</f>
        <v>3512979.3200400006</v>
      </c>
      <c r="Y15" s="204">
        <f t="shared" ref="Y15:Y38" si="5">U15*W15</f>
        <v>0</v>
      </c>
      <c r="Z15" s="217">
        <f>IF(X15&gt;'Major critera'!$B$4,X15,0)</f>
        <v>0</v>
      </c>
      <c r="AA15" s="217">
        <f>IF(Y15&gt;'Major critera'!$C$4,Y15,0)</f>
        <v>0</v>
      </c>
    </row>
    <row r="16" spans="1:40" s="135" customFormat="1" outlineLevel="2">
      <c r="A16" s="136" t="s">
        <v>228</v>
      </c>
      <c r="B16" s="136" t="s">
        <v>201</v>
      </c>
      <c r="C16" s="136" t="s">
        <v>40</v>
      </c>
      <c r="D16" s="137" t="s">
        <v>408</v>
      </c>
      <c r="E16" s="138">
        <v>1006</v>
      </c>
      <c r="F16" s="136" t="s">
        <v>143</v>
      </c>
      <c r="G16" s="136" t="s">
        <v>27</v>
      </c>
      <c r="H16" s="136" t="s">
        <v>276</v>
      </c>
      <c r="I16" s="139">
        <v>0</v>
      </c>
      <c r="J16" s="139">
        <v>0</v>
      </c>
      <c r="K16" s="139">
        <v>0</v>
      </c>
      <c r="L16" s="139">
        <v>0</v>
      </c>
      <c r="M16" s="139">
        <v>400000</v>
      </c>
      <c r="N16" s="139">
        <v>0</v>
      </c>
      <c r="O16" s="139">
        <v>0</v>
      </c>
      <c r="P16" s="139">
        <v>400000</v>
      </c>
      <c r="Q16" s="139">
        <v>0</v>
      </c>
      <c r="R16" s="139">
        <v>400000</v>
      </c>
      <c r="S16" s="139">
        <v>0</v>
      </c>
      <c r="T16" s="139">
        <v>0</v>
      </c>
      <c r="U16" s="139">
        <f t="shared" si="2"/>
        <v>1200000</v>
      </c>
      <c r="V16" s="205">
        <f>'CAP15.1-Allocations'!C53</f>
        <v>0.89659999999999995</v>
      </c>
      <c r="W16" s="145">
        <v>0</v>
      </c>
      <c r="X16" s="204">
        <f t="shared" si="4"/>
        <v>1075920</v>
      </c>
      <c r="Y16" s="204">
        <f t="shared" si="5"/>
        <v>0</v>
      </c>
      <c r="Z16" s="217">
        <f>IF(X16&gt;'Major critera'!$B$4,X16,0)</f>
        <v>0</v>
      </c>
      <c r="AA16" s="217">
        <f>IF(Y16&gt;'Major critera'!$C$4,Y16,0)</f>
        <v>0</v>
      </c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</row>
    <row r="17" spans="1:40" s="151" customFormat="1" outlineLevel="2">
      <c r="A17" s="136" t="s">
        <v>228</v>
      </c>
      <c r="B17" s="136" t="s">
        <v>201</v>
      </c>
      <c r="C17" s="136" t="s">
        <v>40</v>
      </c>
      <c r="D17" s="137" t="s">
        <v>409</v>
      </c>
      <c r="E17" s="138">
        <v>2054</v>
      </c>
      <c r="F17" s="136" t="s">
        <v>143</v>
      </c>
      <c r="G17" s="136" t="s">
        <v>33</v>
      </c>
      <c r="H17" s="136" t="s">
        <v>278</v>
      </c>
      <c r="I17" s="139">
        <v>27377</v>
      </c>
      <c r="J17" s="139">
        <v>20183</v>
      </c>
      <c r="K17" s="139">
        <v>19052</v>
      </c>
      <c r="L17" s="139">
        <v>207270</v>
      </c>
      <c r="M17" s="139">
        <v>207985</v>
      </c>
      <c r="N17" s="139">
        <v>206559</v>
      </c>
      <c r="O17" s="139">
        <v>214888</v>
      </c>
      <c r="P17" s="139">
        <v>18394</v>
      </c>
      <c r="Q17" s="139">
        <v>18909</v>
      </c>
      <c r="R17" s="139">
        <v>20367</v>
      </c>
      <c r="S17" s="139">
        <v>20596</v>
      </c>
      <c r="T17" s="139">
        <v>18419</v>
      </c>
      <c r="U17" s="139">
        <f t="shared" si="2"/>
        <v>999999</v>
      </c>
      <c r="V17" s="205">
        <f>'CAP15.1-Allocations'!C59</f>
        <v>0.71579999999999999</v>
      </c>
      <c r="W17" s="145">
        <v>0</v>
      </c>
      <c r="X17" s="204">
        <f t="shared" si="4"/>
        <v>715799.28419999999</v>
      </c>
      <c r="Y17" s="204">
        <f t="shared" si="5"/>
        <v>0</v>
      </c>
      <c r="Z17" s="217">
        <f>IF(X17&gt;'Major critera'!$B$4,X17,0)</f>
        <v>0</v>
      </c>
      <c r="AA17" s="217">
        <f>IF(Y17&gt;'Major critera'!$C$4,Y17,0)</f>
        <v>0</v>
      </c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</row>
    <row r="18" spans="1:40" s="140" customFormat="1" outlineLevel="2">
      <c r="A18" s="136" t="s">
        <v>228</v>
      </c>
      <c r="B18" s="136" t="s">
        <v>201</v>
      </c>
      <c r="C18" s="136" t="s">
        <v>40</v>
      </c>
      <c r="D18" s="137" t="s">
        <v>410</v>
      </c>
      <c r="E18" s="138">
        <v>2055</v>
      </c>
      <c r="F18" s="136" t="s">
        <v>143</v>
      </c>
      <c r="G18" s="136" t="s">
        <v>34</v>
      </c>
      <c r="H18" s="136" t="s">
        <v>276</v>
      </c>
      <c r="I18" s="139">
        <v>874913</v>
      </c>
      <c r="J18" s="139">
        <v>672226</v>
      </c>
      <c r="K18" s="139">
        <v>640347</v>
      </c>
      <c r="L18" s="139">
        <v>663906</v>
      </c>
      <c r="M18" s="139">
        <v>684065</v>
      </c>
      <c r="N18" s="139">
        <v>643911</v>
      </c>
      <c r="O18" s="139">
        <v>878504</v>
      </c>
      <c r="P18" s="139">
        <v>621873</v>
      </c>
      <c r="Q18" s="139">
        <v>636347</v>
      </c>
      <c r="R18" s="139">
        <v>677425</v>
      </c>
      <c r="S18" s="139">
        <v>683859</v>
      </c>
      <c r="T18" s="139">
        <v>622634</v>
      </c>
      <c r="U18" s="139">
        <f t="shared" si="2"/>
        <v>8300010</v>
      </c>
      <c r="V18" s="205">
        <f>'CAP15.1-Allocations'!C65</f>
        <v>0.63759999999999994</v>
      </c>
      <c r="W18" s="145">
        <v>0</v>
      </c>
      <c r="X18" s="204">
        <f t="shared" si="4"/>
        <v>5292086.3759999992</v>
      </c>
      <c r="Y18" s="204">
        <f t="shared" si="5"/>
        <v>0</v>
      </c>
      <c r="Z18" s="217">
        <f>IF(X18&gt;'Major critera'!$B$4,X18,0)</f>
        <v>0</v>
      </c>
      <c r="AA18" s="217">
        <f>IF(Y18&gt;'Major critera'!$C$4,Y18,0)</f>
        <v>0</v>
      </c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</row>
    <row r="19" spans="1:40" outlineLevel="2">
      <c r="A19" s="136" t="s">
        <v>228</v>
      </c>
      <c r="B19" s="136" t="s">
        <v>201</v>
      </c>
      <c r="C19" s="136" t="s">
        <v>40</v>
      </c>
      <c r="D19" s="137" t="s">
        <v>411</v>
      </c>
      <c r="E19" s="138">
        <v>2056</v>
      </c>
      <c r="F19" s="136" t="s">
        <v>143</v>
      </c>
      <c r="G19" s="136" t="s">
        <v>144</v>
      </c>
      <c r="H19" s="136" t="s">
        <v>277</v>
      </c>
      <c r="I19" s="139">
        <v>248278</v>
      </c>
      <c r="J19" s="139">
        <v>194876</v>
      </c>
      <c r="K19" s="139">
        <v>186481</v>
      </c>
      <c r="L19" s="139">
        <v>192685</v>
      </c>
      <c r="M19" s="139">
        <v>197994</v>
      </c>
      <c r="N19" s="139">
        <v>187418</v>
      </c>
      <c r="O19" s="139">
        <v>249222</v>
      </c>
      <c r="P19" s="139">
        <v>181612</v>
      </c>
      <c r="Q19" s="139">
        <v>185426</v>
      </c>
      <c r="R19" s="139">
        <v>196247</v>
      </c>
      <c r="S19" s="139">
        <v>197942</v>
      </c>
      <c r="T19" s="139">
        <v>181822</v>
      </c>
      <c r="U19" s="139">
        <f t="shared" si="2"/>
        <v>2400003</v>
      </c>
      <c r="V19" s="205">
        <f>'CAP15.1-Allocations'!C71</f>
        <v>0.53520000000000001</v>
      </c>
      <c r="W19" s="145">
        <v>0</v>
      </c>
      <c r="X19" s="204">
        <f t="shared" si="4"/>
        <v>1284481.6056000001</v>
      </c>
      <c r="Y19" s="204">
        <f t="shared" si="5"/>
        <v>0</v>
      </c>
      <c r="Z19" s="217">
        <f>IF(X19&gt;'Major critera'!$B$4,X19,0)</f>
        <v>0</v>
      </c>
      <c r="AA19" s="217">
        <f>IF(Y19&gt;'Major critera'!$C$4,Y19,0)</f>
        <v>0</v>
      </c>
    </row>
    <row r="20" spans="1:40" outlineLevel="2">
      <c r="A20" s="136" t="s">
        <v>228</v>
      </c>
      <c r="B20" s="136" t="s">
        <v>201</v>
      </c>
      <c r="C20" s="136" t="s">
        <v>40</v>
      </c>
      <c r="D20" s="137" t="s">
        <v>412</v>
      </c>
      <c r="E20" s="138">
        <v>2059</v>
      </c>
      <c r="F20" s="136" t="s">
        <v>143</v>
      </c>
      <c r="G20" s="136" t="s">
        <v>215</v>
      </c>
      <c r="H20" s="136" t="s">
        <v>276</v>
      </c>
      <c r="I20" s="139">
        <v>259526</v>
      </c>
      <c r="J20" s="139">
        <v>193315</v>
      </c>
      <c r="K20" s="139">
        <v>155437</v>
      </c>
      <c r="L20" s="139">
        <v>143052</v>
      </c>
      <c r="M20" s="139">
        <v>130102</v>
      </c>
      <c r="N20" s="139">
        <v>123439</v>
      </c>
      <c r="O20" s="139">
        <v>162353</v>
      </c>
      <c r="P20" s="139">
        <v>119785</v>
      </c>
      <c r="Q20" s="139">
        <v>138480</v>
      </c>
      <c r="R20" s="139">
        <v>161591</v>
      </c>
      <c r="S20" s="139">
        <v>195245</v>
      </c>
      <c r="T20" s="139">
        <v>217675</v>
      </c>
      <c r="U20" s="139">
        <f t="shared" si="2"/>
        <v>2000000</v>
      </c>
      <c r="V20" s="205">
        <f>'CAP15.1-Allocations'!C77</f>
        <v>0.63729999999999998</v>
      </c>
      <c r="W20" s="145">
        <v>0</v>
      </c>
      <c r="X20" s="204">
        <f t="shared" si="4"/>
        <v>1274600</v>
      </c>
      <c r="Y20" s="204">
        <f t="shared" si="5"/>
        <v>0</v>
      </c>
      <c r="Z20" s="217">
        <f>IF(X20&gt;'Major critera'!$B$4,X20,0)</f>
        <v>0</v>
      </c>
      <c r="AA20" s="217">
        <f>IF(Y20&gt;'Major critera'!$C$4,Y20,0)</f>
        <v>0</v>
      </c>
    </row>
    <row r="21" spans="1:40" outlineLevel="2">
      <c r="A21" s="136" t="s">
        <v>228</v>
      </c>
      <c r="B21" s="136" t="s">
        <v>201</v>
      </c>
      <c r="C21" s="136" t="s">
        <v>40</v>
      </c>
      <c r="D21" s="137" t="s">
        <v>413</v>
      </c>
      <c r="E21" s="138">
        <v>2060</v>
      </c>
      <c r="F21" s="136" t="s">
        <v>143</v>
      </c>
      <c r="G21" s="136" t="s">
        <v>37</v>
      </c>
      <c r="H21" s="136" t="s">
        <v>276</v>
      </c>
      <c r="I21" s="139">
        <v>1201075</v>
      </c>
      <c r="J21" s="139">
        <v>886492</v>
      </c>
      <c r="K21" s="139">
        <v>837013</v>
      </c>
      <c r="L21" s="139">
        <v>873580</v>
      </c>
      <c r="M21" s="139">
        <v>904869</v>
      </c>
      <c r="N21" s="139">
        <v>842546</v>
      </c>
      <c r="O21" s="139">
        <v>1206648</v>
      </c>
      <c r="P21" s="139">
        <v>808342</v>
      </c>
      <c r="Q21" s="139">
        <v>830805</v>
      </c>
      <c r="R21" s="139">
        <v>894563</v>
      </c>
      <c r="S21" s="139">
        <v>904551</v>
      </c>
      <c r="T21" s="139">
        <v>809518</v>
      </c>
      <c r="U21" s="139">
        <f t="shared" si="2"/>
        <v>11000002</v>
      </c>
      <c r="V21" s="205">
        <f>'CAP15.1-Allocations'!C83</f>
        <v>0.65629999999999999</v>
      </c>
      <c r="W21" s="145">
        <v>0</v>
      </c>
      <c r="X21" s="204">
        <f t="shared" si="4"/>
        <v>7219301.3125999998</v>
      </c>
      <c r="Y21" s="204">
        <f t="shared" si="5"/>
        <v>0</v>
      </c>
      <c r="Z21" s="217">
        <f>IF(X21&gt;'Major critera'!$B$4,X21,0)</f>
        <v>7219301.3125999998</v>
      </c>
      <c r="AA21" s="217">
        <f>IF(Y21&gt;'Major critera'!$C$4,Y21,0)</f>
        <v>0</v>
      </c>
    </row>
    <row r="22" spans="1:40" s="151" customFormat="1">
      <c r="A22" s="136" t="s">
        <v>228</v>
      </c>
      <c r="B22" s="136" t="s">
        <v>201</v>
      </c>
      <c r="C22" s="136" t="s">
        <v>40</v>
      </c>
      <c r="D22" s="137" t="s">
        <v>414</v>
      </c>
      <c r="E22" s="138">
        <v>2073</v>
      </c>
      <c r="F22" s="136" t="s">
        <v>143</v>
      </c>
      <c r="G22" s="136" t="s">
        <v>348</v>
      </c>
      <c r="H22" s="136" t="s">
        <v>276</v>
      </c>
      <c r="I22" s="139">
        <v>25000</v>
      </c>
      <c r="J22" s="139">
        <v>25000</v>
      </c>
      <c r="K22" s="139">
        <v>25000</v>
      </c>
      <c r="L22" s="139">
        <v>25000</v>
      </c>
      <c r="M22" s="139">
        <v>25000</v>
      </c>
      <c r="N22" s="139">
        <v>25000</v>
      </c>
      <c r="O22" s="139">
        <v>25000</v>
      </c>
      <c r="P22" s="139">
        <v>25000</v>
      </c>
      <c r="Q22" s="139">
        <v>25000</v>
      </c>
      <c r="R22" s="139">
        <v>25000</v>
      </c>
      <c r="S22" s="139">
        <v>25000</v>
      </c>
      <c r="T22" s="139">
        <v>24998</v>
      </c>
      <c r="U22" s="139">
        <f t="shared" si="2"/>
        <v>299998</v>
      </c>
      <c r="V22" s="124">
        <f>'CAP15.1-Allocations'!C121</f>
        <v>0.65190000000000003</v>
      </c>
      <c r="W22" s="145">
        <v>0</v>
      </c>
      <c r="X22" s="204">
        <f t="shared" si="4"/>
        <v>195568.69620000001</v>
      </c>
      <c r="Y22" s="204">
        <f t="shared" si="5"/>
        <v>0</v>
      </c>
      <c r="Z22" s="217">
        <f>IF(X22&gt;'Major critera'!$B$4,X22,0)</f>
        <v>0</v>
      </c>
      <c r="AA22" s="217">
        <f>IF(Y22&gt;'Major critera'!$C$4,Y22,0)</f>
        <v>0</v>
      </c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40"/>
      <c r="AN22" s="140"/>
    </row>
    <row r="23" spans="1:40" outlineLevel="2">
      <c r="A23" s="136" t="s">
        <v>228</v>
      </c>
      <c r="B23" s="136" t="s">
        <v>201</v>
      </c>
      <c r="C23" s="136" t="s">
        <v>40</v>
      </c>
      <c r="D23" s="137" t="s">
        <v>415</v>
      </c>
      <c r="E23" s="138">
        <v>2204</v>
      </c>
      <c r="F23" s="136" t="s">
        <v>143</v>
      </c>
      <c r="G23" s="136" t="s">
        <v>44</v>
      </c>
      <c r="H23" s="136" t="s">
        <v>276</v>
      </c>
      <c r="I23" s="139">
        <v>6276</v>
      </c>
      <c r="J23" s="139">
        <v>6276</v>
      </c>
      <c r="K23" s="139">
        <v>6276</v>
      </c>
      <c r="L23" s="139">
        <v>6276</v>
      </c>
      <c r="M23" s="139">
        <v>6276</v>
      </c>
      <c r="N23" s="139">
        <v>6276</v>
      </c>
      <c r="O23" s="139">
        <v>6276</v>
      </c>
      <c r="P23" s="139">
        <v>6276</v>
      </c>
      <c r="Q23" s="139">
        <v>6276</v>
      </c>
      <c r="R23" s="139">
        <v>6276</v>
      </c>
      <c r="S23" s="139">
        <v>6276</v>
      </c>
      <c r="T23" s="139">
        <v>86276</v>
      </c>
      <c r="U23" s="139">
        <f t="shared" si="2"/>
        <v>155312</v>
      </c>
      <c r="V23" s="205">
        <f>'CAP15.1-Allocations'!C89</f>
        <v>7.1000000000000004E-3</v>
      </c>
      <c r="W23" s="145">
        <v>0</v>
      </c>
      <c r="X23" s="204">
        <f t="shared" si="4"/>
        <v>1102.7152000000001</v>
      </c>
      <c r="Y23" s="204">
        <f t="shared" si="5"/>
        <v>0</v>
      </c>
      <c r="Z23" s="217">
        <f>IF(X23&gt;'Major critera'!$B$4,X23,0)</f>
        <v>0</v>
      </c>
      <c r="AA23" s="217">
        <f>IF(Y23&gt;'Major critera'!$C$4,Y23,0)</f>
        <v>0</v>
      </c>
    </row>
    <row r="24" spans="1:40" outlineLevel="2">
      <c r="A24" s="136" t="s">
        <v>228</v>
      </c>
      <c r="B24" s="136" t="s">
        <v>201</v>
      </c>
      <c r="C24" s="136" t="s">
        <v>40</v>
      </c>
      <c r="D24" s="137" t="s">
        <v>416</v>
      </c>
      <c r="E24" s="138">
        <v>2253</v>
      </c>
      <c r="F24" s="136" t="s">
        <v>143</v>
      </c>
      <c r="G24" s="136" t="s">
        <v>242</v>
      </c>
      <c r="H24" s="136" t="s">
        <v>276</v>
      </c>
      <c r="I24" s="139">
        <v>12500</v>
      </c>
      <c r="J24" s="139">
        <v>0</v>
      </c>
      <c r="K24" s="139">
        <v>0</v>
      </c>
      <c r="L24" s="139">
        <v>12500</v>
      </c>
      <c r="M24" s="139">
        <v>0</v>
      </c>
      <c r="N24" s="139">
        <v>0</v>
      </c>
      <c r="O24" s="139">
        <v>12500</v>
      </c>
      <c r="P24" s="139">
        <v>0</v>
      </c>
      <c r="Q24" s="139">
        <v>0</v>
      </c>
      <c r="R24" s="139">
        <v>12500</v>
      </c>
      <c r="S24" s="139">
        <v>0</v>
      </c>
      <c r="T24" s="139">
        <v>0</v>
      </c>
      <c r="U24" s="139">
        <f t="shared" si="2"/>
        <v>50000</v>
      </c>
      <c r="V24" s="124">
        <f>'CAP15.1-Allocations'!$C$121</f>
        <v>0.65190000000000003</v>
      </c>
      <c r="W24" s="145">
        <v>0</v>
      </c>
      <c r="X24" s="204">
        <f t="shared" si="4"/>
        <v>32595</v>
      </c>
      <c r="Y24" s="204">
        <f t="shared" si="5"/>
        <v>0</v>
      </c>
      <c r="Z24" s="217">
        <f>IF(X24&gt;'Major critera'!$B$4,X24,0)</f>
        <v>0</v>
      </c>
      <c r="AA24" s="217">
        <f>IF(Y24&gt;'Major critera'!$C$4,Y24,0)</f>
        <v>0</v>
      </c>
    </row>
    <row r="25" spans="1:40" outlineLevel="2">
      <c r="A25" s="136" t="s">
        <v>228</v>
      </c>
      <c r="B25" s="136" t="s">
        <v>201</v>
      </c>
      <c r="C25" s="136" t="s">
        <v>40</v>
      </c>
      <c r="D25" s="137" t="s">
        <v>416</v>
      </c>
      <c r="E25" s="138">
        <v>2275</v>
      </c>
      <c r="F25" s="136" t="s">
        <v>143</v>
      </c>
      <c r="G25" s="136" t="s">
        <v>145</v>
      </c>
      <c r="H25" s="136" t="s">
        <v>276</v>
      </c>
      <c r="I25" s="139">
        <v>25000</v>
      </c>
      <c r="J25" s="139">
        <v>0</v>
      </c>
      <c r="K25" s="139">
        <v>0</v>
      </c>
      <c r="L25" s="139">
        <v>25000</v>
      </c>
      <c r="M25" s="139">
        <v>0</v>
      </c>
      <c r="N25" s="139">
        <v>0</v>
      </c>
      <c r="O25" s="139">
        <v>25000</v>
      </c>
      <c r="P25" s="139">
        <v>0</v>
      </c>
      <c r="Q25" s="139">
        <v>0</v>
      </c>
      <c r="R25" s="139">
        <v>25000</v>
      </c>
      <c r="S25" s="139">
        <v>0</v>
      </c>
      <c r="T25" s="139">
        <v>0</v>
      </c>
      <c r="U25" s="139">
        <f t="shared" si="2"/>
        <v>100000</v>
      </c>
      <c r="V25" s="124">
        <f>'CAP15.1-Allocations'!$C$121</f>
        <v>0.65190000000000003</v>
      </c>
      <c r="W25" s="145">
        <v>0</v>
      </c>
      <c r="X25" s="204">
        <f t="shared" si="4"/>
        <v>65190</v>
      </c>
      <c r="Y25" s="204">
        <f t="shared" si="5"/>
        <v>0</v>
      </c>
      <c r="Z25" s="217">
        <f>IF(X25&gt;'Major critera'!$B$4,X25,0)</f>
        <v>0</v>
      </c>
      <c r="AA25" s="217">
        <f>IF(Y25&gt;'Major critera'!$C$4,Y25,0)</f>
        <v>0</v>
      </c>
    </row>
    <row r="26" spans="1:40" outlineLevel="2">
      <c r="A26" s="136" t="s">
        <v>228</v>
      </c>
      <c r="B26" s="136" t="s">
        <v>201</v>
      </c>
      <c r="C26" s="136" t="s">
        <v>40</v>
      </c>
      <c r="D26" s="137" t="s">
        <v>243</v>
      </c>
      <c r="E26" s="138">
        <v>2276</v>
      </c>
      <c r="F26" s="136" t="s">
        <v>143</v>
      </c>
      <c r="G26" s="136" t="s">
        <v>243</v>
      </c>
      <c r="H26" s="136" t="s">
        <v>276</v>
      </c>
      <c r="I26" s="139">
        <v>625</v>
      </c>
      <c r="J26" s="139">
        <v>625</v>
      </c>
      <c r="K26" s="139">
        <v>4375</v>
      </c>
      <c r="L26" s="139">
        <v>4375</v>
      </c>
      <c r="M26" s="139">
        <v>17500</v>
      </c>
      <c r="N26" s="139">
        <v>17500</v>
      </c>
      <c r="O26" s="139">
        <v>17500</v>
      </c>
      <c r="P26" s="139">
        <v>20000</v>
      </c>
      <c r="Q26" s="139">
        <v>20000</v>
      </c>
      <c r="R26" s="139">
        <v>20000</v>
      </c>
      <c r="S26" s="139">
        <v>2500</v>
      </c>
      <c r="T26" s="139">
        <v>0</v>
      </c>
      <c r="U26" s="139">
        <f t="shared" si="2"/>
        <v>125000</v>
      </c>
      <c r="V26" s="124">
        <f>'CAP15.1-Allocations'!$C$121</f>
        <v>0.65190000000000003</v>
      </c>
      <c r="W26" s="145">
        <v>0</v>
      </c>
      <c r="X26" s="204">
        <f t="shared" si="4"/>
        <v>81487.5</v>
      </c>
      <c r="Y26" s="204">
        <f t="shared" si="5"/>
        <v>0</v>
      </c>
      <c r="Z26" s="217">
        <f>IF(X26&gt;'Major critera'!$B$4,X26,0)</f>
        <v>0</v>
      </c>
      <c r="AA26" s="217">
        <f>IF(Y26&gt;'Major critera'!$C$4,Y26,0)</f>
        <v>0</v>
      </c>
    </row>
    <row r="27" spans="1:40" outlineLevel="2">
      <c r="A27" s="136" t="s">
        <v>228</v>
      </c>
      <c r="B27" s="136" t="s">
        <v>201</v>
      </c>
      <c r="C27" s="136" t="s">
        <v>40</v>
      </c>
      <c r="D27" s="137" t="s">
        <v>416</v>
      </c>
      <c r="E27" s="138">
        <v>2278</v>
      </c>
      <c r="F27" s="136" t="s">
        <v>143</v>
      </c>
      <c r="G27" s="136" t="s">
        <v>48</v>
      </c>
      <c r="H27" s="136" t="s">
        <v>276</v>
      </c>
      <c r="I27" s="139">
        <v>67310</v>
      </c>
      <c r="J27" s="139">
        <v>643</v>
      </c>
      <c r="K27" s="139">
        <v>67309</v>
      </c>
      <c r="L27" s="139">
        <v>643</v>
      </c>
      <c r="M27" s="139">
        <v>67310</v>
      </c>
      <c r="N27" s="139">
        <v>643</v>
      </c>
      <c r="O27" s="139">
        <v>67309</v>
      </c>
      <c r="P27" s="139">
        <v>643</v>
      </c>
      <c r="Q27" s="139">
        <v>67310</v>
      </c>
      <c r="R27" s="139">
        <v>643</v>
      </c>
      <c r="S27" s="139">
        <v>67310</v>
      </c>
      <c r="T27" s="139">
        <v>643</v>
      </c>
      <c r="U27" s="139">
        <f t="shared" si="2"/>
        <v>407716</v>
      </c>
      <c r="V27" s="124">
        <f>'CAP15.1-Allocations'!$C$121</f>
        <v>0.65190000000000003</v>
      </c>
      <c r="W27" s="145">
        <v>0</v>
      </c>
      <c r="X27" s="204">
        <f t="shared" si="4"/>
        <v>265790.06040000002</v>
      </c>
      <c r="Y27" s="204">
        <f t="shared" si="5"/>
        <v>0</v>
      </c>
      <c r="Z27" s="217">
        <f>IF(X27&gt;'Major critera'!$B$4,X27,0)</f>
        <v>0</v>
      </c>
      <c r="AA27" s="217">
        <f>IF(Y27&gt;'Major critera'!$C$4,Y27,0)</f>
        <v>0</v>
      </c>
    </row>
    <row r="28" spans="1:40" outlineLevel="2">
      <c r="A28" s="136" t="s">
        <v>228</v>
      </c>
      <c r="B28" s="136" t="s">
        <v>201</v>
      </c>
      <c r="C28" s="136" t="s">
        <v>40</v>
      </c>
      <c r="D28" s="137" t="s">
        <v>416</v>
      </c>
      <c r="E28" s="138">
        <v>2293</v>
      </c>
      <c r="F28" s="136" t="s">
        <v>143</v>
      </c>
      <c r="G28" s="136" t="s">
        <v>147</v>
      </c>
      <c r="H28" s="136" t="s">
        <v>276</v>
      </c>
      <c r="I28" s="139">
        <v>0</v>
      </c>
      <c r="J28" s="139">
        <v>0</v>
      </c>
      <c r="K28" s="139">
        <v>0</v>
      </c>
      <c r="L28" s="139">
        <v>0</v>
      </c>
      <c r="M28" s="139">
        <v>85326</v>
      </c>
      <c r="N28" s="139">
        <v>0</v>
      </c>
      <c r="O28" s="139">
        <v>0</v>
      </c>
      <c r="P28" s="139">
        <v>0</v>
      </c>
      <c r="Q28" s="139">
        <v>56884</v>
      </c>
      <c r="R28" s="139">
        <v>0</v>
      </c>
      <c r="S28" s="139">
        <v>57790</v>
      </c>
      <c r="T28" s="139">
        <v>0</v>
      </c>
      <c r="U28" s="139">
        <f t="shared" si="2"/>
        <v>200000</v>
      </c>
      <c r="V28" s="124">
        <f>'CAP15.1-Allocations'!$C$121</f>
        <v>0.65190000000000003</v>
      </c>
      <c r="W28" s="145">
        <v>0</v>
      </c>
      <c r="X28" s="204">
        <f t="shared" si="4"/>
        <v>130380</v>
      </c>
      <c r="Y28" s="204">
        <f t="shared" si="5"/>
        <v>0</v>
      </c>
      <c r="Z28" s="217">
        <f>IF(X28&gt;'Major critera'!$B$4,X28,0)</f>
        <v>0</v>
      </c>
      <c r="AA28" s="217">
        <f>IF(Y28&gt;'Major critera'!$C$4,Y28,0)</f>
        <v>0</v>
      </c>
    </row>
    <row r="29" spans="1:40" outlineLevel="2">
      <c r="A29" s="136" t="s">
        <v>228</v>
      </c>
      <c r="B29" s="136" t="s">
        <v>201</v>
      </c>
      <c r="C29" s="136" t="s">
        <v>40</v>
      </c>
      <c r="D29" s="137" t="s">
        <v>416</v>
      </c>
      <c r="E29" s="138">
        <v>2336</v>
      </c>
      <c r="F29" s="136" t="s">
        <v>143</v>
      </c>
      <c r="G29" s="136" t="s">
        <v>217</v>
      </c>
      <c r="H29" s="136" t="s">
        <v>276</v>
      </c>
      <c r="I29" s="139">
        <v>0</v>
      </c>
      <c r="J29" s="139">
        <v>0</v>
      </c>
      <c r="K29" s="139">
        <v>0</v>
      </c>
      <c r="L29" s="139">
        <v>0</v>
      </c>
      <c r="M29" s="139">
        <v>120000</v>
      </c>
      <c r="N29" s="139">
        <v>0</v>
      </c>
      <c r="O29" s="139">
        <v>0</v>
      </c>
      <c r="P29" s="139">
        <v>0</v>
      </c>
      <c r="Q29" s="139">
        <v>90000</v>
      </c>
      <c r="R29" s="139">
        <v>0</v>
      </c>
      <c r="S29" s="139">
        <v>90000</v>
      </c>
      <c r="T29" s="139">
        <v>0</v>
      </c>
      <c r="U29" s="139">
        <f t="shared" si="2"/>
        <v>300000</v>
      </c>
      <c r="V29" s="124">
        <f>'CAP15.1-Allocations'!$C$121</f>
        <v>0.65190000000000003</v>
      </c>
      <c r="W29" s="145">
        <v>0</v>
      </c>
      <c r="X29" s="204">
        <f t="shared" si="4"/>
        <v>195570</v>
      </c>
      <c r="Y29" s="204">
        <f t="shared" si="5"/>
        <v>0</v>
      </c>
      <c r="Z29" s="217">
        <f>IF(X29&gt;'Major critera'!$B$4,X29,0)</f>
        <v>0</v>
      </c>
      <c r="AA29" s="217">
        <f>IF(Y29&gt;'Major critera'!$C$4,Y29,0)</f>
        <v>0</v>
      </c>
    </row>
    <row r="30" spans="1:40" outlineLevel="2">
      <c r="A30" s="136" t="s">
        <v>228</v>
      </c>
      <c r="B30" s="136" t="s">
        <v>201</v>
      </c>
      <c r="C30" s="136" t="s">
        <v>40</v>
      </c>
      <c r="D30" s="137" t="s">
        <v>417</v>
      </c>
      <c r="E30" s="138">
        <v>2414</v>
      </c>
      <c r="F30" s="136" t="s">
        <v>143</v>
      </c>
      <c r="G30" s="136" t="s">
        <v>50</v>
      </c>
      <c r="H30" s="136" t="s">
        <v>276</v>
      </c>
      <c r="I30" s="139">
        <v>20833</v>
      </c>
      <c r="J30" s="139">
        <v>20833</v>
      </c>
      <c r="K30" s="139">
        <v>20833</v>
      </c>
      <c r="L30" s="139">
        <v>20833</v>
      </c>
      <c r="M30" s="139">
        <v>20833</v>
      </c>
      <c r="N30" s="139">
        <v>20833</v>
      </c>
      <c r="O30" s="139">
        <v>20833</v>
      </c>
      <c r="P30" s="139">
        <v>20833</v>
      </c>
      <c r="Q30" s="139">
        <v>20833</v>
      </c>
      <c r="R30" s="139">
        <v>20833</v>
      </c>
      <c r="S30" s="139">
        <v>20833</v>
      </c>
      <c r="T30" s="139">
        <v>1770022</v>
      </c>
      <c r="U30" s="139">
        <f t="shared" si="2"/>
        <v>1999185</v>
      </c>
      <c r="V30" s="124">
        <f>'CAP15.1-Allocations'!$C$121</f>
        <v>0.65190000000000003</v>
      </c>
      <c r="W30" s="145">
        <v>0</v>
      </c>
      <c r="X30" s="204">
        <f t="shared" si="4"/>
        <v>1303268.7015</v>
      </c>
      <c r="Y30" s="204">
        <f t="shared" si="5"/>
        <v>0</v>
      </c>
      <c r="Z30" s="217">
        <f>IF(X30&gt;'Major critera'!$B$4,X30,0)</f>
        <v>0</v>
      </c>
      <c r="AA30" s="217">
        <f>IF(Y30&gt;'Major critera'!$C$4,Y30,0)</f>
        <v>0</v>
      </c>
    </row>
    <row r="31" spans="1:40" outlineLevel="2">
      <c r="A31" s="136" t="s">
        <v>228</v>
      </c>
      <c r="B31" s="136" t="s">
        <v>201</v>
      </c>
      <c r="C31" s="136" t="s">
        <v>40</v>
      </c>
      <c r="D31" s="137" t="s">
        <v>418</v>
      </c>
      <c r="E31" s="138">
        <v>2423</v>
      </c>
      <c r="F31" s="136" t="s">
        <v>143</v>
      </c>
      <c r="G31" s="136" t="s">
        <v>199</v>
      </c>
      <c r="H31" s="136" t="s">
        <v>276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2500000</v>
      </c>
      <c r="U31" s="139">
        <f t="shared" si="2"/>
        <v>2500000</v>
      </c>
      <c r="V31" s="124">
        <f>'CAP15.1-Allocations'!$C$121</f>
        <v>0.65190000000000003</v>
      </c>
      <c r="W31" s="145">
        <v>0</v>
      </c>
      <c r="X31" s="204">
        <f t="shared" si="4"/>
        <v>1629750</v>
      </c>
      <c r="Y31" s="204">
        <f t="shared" si="5"/>
        <v>0</v>
      </c>
      <c r="Z31" s="217">
        <f>IF(X31&gt;'Major critera'!$B$4,X31,0)</f>
        <v>0</v>
      </c>
      <c r="AA31" s="217">
        <f>IF(Y31&gt;'Major critera'!$C$4,Y31,0)</f>
        <v>0</v>
      </c>
    </row>
    <row r="32" spans="1:40" outlineLevel="2">
      <c r="A32" s="136" t="s">
        <v>228</v>
      </c>
      <c r="B32" s="136" t="s">
        <v>201</v>
      </c>
      <c r="C32" s="136" t="s">
        <v>40</v>
      </c>
      <c r="D32" s="137" t="s">
        <v>416</v>
      </c>
      <c r="E32" s="138">
        <v>2425</v>
      </c>
      <c r="F32" s="136" t="s">
        <v>143</v>
      </c>
      <c r="G32" s="136" t="s">
        <v>149</v>
      </c>
      <c r="H32" s="136" t="s">
        <v>276</v>
      </c>
      <c r="I32" s="139">
        <v>0</v>
      </c>
      <c r="J32" s="139">
        <v>0</v>
      </c>
      <c r="K32" s="139">
        <v>50000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50000</v>
      </c>
      <c r="S32" s="139">
        <v>0</v>
      </c>
      <c r="T32" s="139">
        <v>0</v>
      </c>
      <c r="U32" s="139">
        <f t="shared" si="2"/>
        <v>100000</v>
      </c>
      <c r="V32" s="124">
        <f>'CAP15.1-Allocations'!$C$121</f>
        <v>0.65190000000000003</v>
      </c>
      <c r="W32" s="145">
        <v>0</v>
      </c>
      <c r="X32" s="204">
        <f t="shared" si="4"/>
        <v>65190</v>
      </c>
      <c r="Y32" s="204">
        <f t="shared" si="5"/>
        <v>0</v>
      </c>
      <c r="Z32" s="217">
        <f>IF(X32&gt;'Major critera'!$B$4,X32,0)</f>
        <v>0</v>
      </c>
      <c r="AA32" s="217">
        <f>IF(Y32&gt;'Major critera'!$C$4,Y32,0)</f>
        <v>0</v>
      </c>
    </row>
    <row r="33" spans="1:27" outlineLevel="2">
      <c r="A33" s="136" t="s">
        <v>228</v>
      </c>
      <c r="B33" s="136" t="s">
        <v>201</v>
      </c>
      <c r="C33" s="136" t="s">
        <v>40</v>
      </c>
      <c r="D33" s="137" t="s">
        <v>354</v>
      </c>
      <c r="E33" s="138">
        <v>2470</v>
      </c>
      <c r="F33" s="136" t="s">
        <v>143</v>
      </c>
      <c r="G33" s="136" t="s">
        <v>354</v>
      </c>
      <c r="H33" s="136" t="s">
        <v>276</v>
      </c>
      <c r="I33" s="139">
        <v>556668</v>
      </c>
      <c r="J33" s="139">
        <v>467149</v>
      </c>
      <c r="K33" s="139">
        <v>528640</v>
      </c>
      <c r="L33" s="139">
        <v>585311</v>
      </c>
      <c r="M33" s="139">
        <v>664514</v>
      </c>
      <c r="N33" s="139">
        <v>743387</v>
      </c>
      <c r="O33" s="139">
        <v>823113</v>
      </c>
      <c r="P33" s="139">
        <v>733380</v>
      </c>
      <c r="Q33" s="139">
        <v>739770</v>
      </c>
      <c r="R33" s="139">
        <v>709612</v>
      </c>
      <c r="S33" s="139">
        <v>616660</v>
      </c>
      <c r="T33" s="139">
        <v>3756797</v>
      </c>
      <c r="U33" s="139">
        <f t="shared" si="2"/>
        <v>10925001</v>
      </c>
      <c r="V33" s="124">
        <f>'CAP15.1-Allocations'!$C$121</f>
        <v>0.65190000000000003</v>
      </c>
      <c r="W33" s="145">
        <v>0</v>
      </c>
      <c r="X33" s="204">
        <f t="shared" si="4"/>
        <v>7122008.1518999999</v>
      </c>
      <c r="Y33" s="204">
        <f t="shared" si="5"/>
        <v>0</v>
      </c>
      <c r="Z33" s="217">
        <f>IF(X33&gt;'Major critera'!$B$4,X33,0)</f>
        <v>7122008.1518999999</v>
      </c>
      <c r="AA33" s="217">
        <f>IF(Y33&gt;'Major critera'!$C$4,Y33,0)</f>
        <v>0</v>
      </c>
    </row>
    <row r="34" spans="1:27" outlineLevel="2">
      <c r="A34" s="136" t="s">
        <v>228</v>
      </c>
      <c r="B34" s="136" t="s">
        <v>201</v>
      </c>
      <c r="C34" s="136" t="s">
        <v>40</v>
      </c>
      <c r="D34" s="137" t="s">
        <v>416</v>
      </c>
      <c r="E34" s="138">
        <v>2493</v>
      </c>
      <c r="F34" s="136" t="s">
        <v>143</v>
      </c>
      <c r="G34" s="136" t="s">
        <v>2</v>
      </c>
      <c r="H34" s="136" t="s">
        <v>276</v>
      </c>
      <c r="I34" s="139">
        <v>58333</v>
      </c>
      <c r="J34" s="139">
        <v>0</v>
      </c>
      <c r="K34" s="139">
        <v>58334</v>
      </c>
      <c r="L34" s="139">
        <v>0</v>
      </c>
      <c r="M34" s="139">
        <v>58333</v>
      </c>
      <c r="N34" s="139">
        <v>0</v>
      </c>
      <c r="O34" s="139">
        <v>58334</v>
      </c>
      <c r="P34" s="139">
        <v>0</v>
      </c>
      <c r="Q34" s="139">
        <v>58333</v>
      </c>
      <c r="R34" s="139">
        <v>0</v>
      </c>
      <c r="S34" s="139">
        <v>58333</v>
      </c>
      <c r="T34" s="139">
        <v>0</v>
      </c>
      <c r="U34" s="139">
        <f t="shared" si="2"/>
        <v>350000</v>
      </c>
      <c r="V34" s="124">
        <f>'CAP15.1-Allocations'!$C$121</f>
        <v>0.65190000000000003</v>
      </c>
      <c r="W34" s="145">
        <v>0</v>
      </c>
      <c r="X34" s="204">
        <f t="shared" si="4"/>
        <v>228165</v>
      </c>
      <c r="Y34" s="204">
        <f t="shared" si="5"/>
        <v>0</v>
      </c>
      <c r="Z34" s="217">
        <f>IF(X34&gt;'Major critera'!$B$4,X34,0)</f>
        <v>0</v>
      </c>
      <c r="AA34" s="217">
        <f>IF(Y34&gt;'Major critera'!$C$4,Y34,0)</f>
        <v>0</v>
      </c>
    </row>
    <row r="35" spans="1:27" outlineLevel="2">
      <c r="A35" s="136" t="s">
        <v>228</v>
      </c>
      <c r="B35" s="136" t="s">
        <v>201</v>
      </c>
      <c r="C35" s="136" t="s">
        <v>40</v>
      </c>
      <c r="D35" s="137" t="s">
        <v>419</v>
      </c>
      <c r="E35" s="138">
        <v>2516</v>
      </c>
      <c r="F35" s="136" t="s">
        <v>143</v>
      </c>
      <c r="G35" s="136" t="s">
        <v>153</v>
      </c>
      <c r="H35" s="136" t="s">
        <v>276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799196</v>
      </c>
      <c r="U35" s="139">
        <f t="shared" si="2"/>
        <v>799196</v>
      </c>
      <c r="V35" s="124">
        <f>'CAP15.1-Allocations'!$C$121</f>
        <v>0.65190000000000003</v>
      </c>
      <c r="W35" s="145">
        <v>0</v>
      </c>
      <c r="X35" s="204">
        <f t="shared" si="4"/>
        <v>520995.87240000005</v>
      </c>
      <c r="Y35" s="204">
        <f t="shared" si="5"/>
        <v>0</v>
      </c>
      <c r="Z35" s="217">
        <f>IF(X35&gt;'Major critera'!$B$4,X35,0)</f>
        <v>0</v>
      </c>
      <c r="AA35" s="217">
        <f>IF(Y35&gt;'Major critera'!$C$4,Y35,0)</f>
        <v>0</v>
      </c>
    </row>
    <row r="36" spans="1:27" outlineLevel="2">
      <c r="A36" s="136" t="s">
        <v>228</v>
      </c>
      <c r="B36" s="136" t="s">
        <v>201</v>
      </c>
      <c r="C36" s="136" t="s">
        <v>40</v>
      </c>
      <c r="D36" s="137" t="s">
        <v>420</v>
      </c>
      <c r="E36" s="138">
        <v>2535</v>
      </c>
      <c r="F36" s="136" t="s">
        <v>143</v>
      </c>
      <c r="G36" s="136" t="s">
        <v>281</v>
      </c>
      <c r="H36" s="136" t="s">
        <v>276</v>
      </c>
      <c r="I36" s="139">
        <v>513724</v>
      </c>
      <c r="J36" s="139">
        <v>378717</v>
      </c>
      <c r="K36" s="139">
        <v>357482</v>
      </c>
      <c r="L36" s="139">
        <v>373175</v>
      </c>
      <c r="M36" s="139">
        <v>386603</v>
      </c>
      <c r="N36" s="139">
        <v>359855</v>
      </c>
      <c r="O36" s="139">
        <v>516117</v>
      </c>
      <c r="P36" s="139">
        <v>345177</v>
      </c>
      <c r="Q36" s="139">
        <v>354817</v>
      </c>
      <c r="R36" s="139">
        <v>382180</v>
      </c>
      <c r="S36" s="139">
        <v>386467</v>
      </c>
      <c r="T36" s="139">
        <v>345686</v>
      </c>
      <c r="U36" s="139">
        <f t="shared" si="2"/>
        <v>4700000</v>
      </c>
      <c r="V36" s="205">
        <f>'CAP15.1-Allocations'!C96</f>
        <v>0.76259999999999994</v>
      </c>
      <c r="W36" s="145">
        <v>0</v>
      </c>
      <c r="X36" s="204">
        <f t="shared" si="4"/>
        <v>3584219.9999999995</v>
      </c>
      <c r="Y36" s="204">
        <f t="shared" si="5"/>
        <v>0</v>
      </c>
      <c r="Z36" s="217">
        <f>IF(X36&gt;'Major critera'!$B$4,X36,0)</f>
        <v>0</v>
      </c>
      <c r="AA36" s="217">
        <f>IF(Y36&gt;'Major critera'!$C$4,Y36,0)</f>
        <v>0</v>
      </c>
    </row>
    <row r="37" spans="1:27" outlineLevel="2">
      <c r="A37" s="136" t="s">
        <v>228</v>
      </c>
      <c r="B37" s="136" t="s">
        <v>201</v>
      </c>
      <c r="C37" s="136" t="s">
        <v>40</v>
      </c>
      <c r="D37" s="137" t="s">
        <v>421</v>
      </c>
      <c r="E37" s="138">
        <v>2584</v>
      </c>
      <c r="F37" s="136" t="s">
        <v>143</v>
      </c>
      <c r="G37" s="136" t="s">
        <v>366</v>
      </c>
      <c r="H37" s="136" t="s">
        <v>278</v>
      </c>
      <c r="I37" s="139">
        <v>133278</v>
      </c>
      <c r="J37" s="139">
        <v>124121</v>
      </c>
      <c r="K37" s="139">
        <v>122680</v>
      </c>
      <c r="L37" s="139">
        <v>123745</v>
      </c>
      <c r="M37" s="139">
        <v>124657</v>
      </c>
      <c r="N37" s="139">
        <v>122843</v>
      </c>
      <c r="O37" s="139">
        <v>133440</v>
      </c>
      <c r="P37" s="139">
        <v>121847</v>
      </c>
      <c r="Q37" s="139">
        <v>122501</v>
      </c>
      <c r="R37" s="139">
        <v>124357</v>
      </c>
      <c r="S37" s="139">
        <v>124647</v>
      </c>
      <c r="T37" s="139">
        <v>121884</v>
      </c>
      <c r="U37" s="139">
        <f t="shared" si="2"/>
        <v>1500000</v>
      </c>
      <c r="V37" s="124">
        <f>'CAP15.1-Allocations'!$C$121</f>
        <v>0.65190000000000003</v>
      </c>
      <c r="W37" s="145">
        <v>0</v>
      </c>
      <c r="X37" s="204">
        <f t="shared" si="4"/>
        <v>977850</v>
      </c>
      <c r="Y37" s="204">
        <f t="shared" si="5"/>
        <v>0</v>
      </c>
      <c r="Z37" s="217">
        <f>IF(X37&gt;'Major critera'!$B$4,X37,0)</f>
        <v>0</v>
      </c>
      <c r="AA37" s="217">
        <f>IF(Y37&gt;'Major critera'!$C$4,Y37,0)</f>
        <v>0</v>
      </c>
    </row>
    <row r="38" spans="1:27" outlineLevel="2">
      <c r="A38" s="136" t="s">
        <v>228</v>
      </c>
      <c r="B38" s="136" t="s">
        <v>201</v>
      </c>
      <c r="C38" s="136" t="s">
        <v>40</v>
      </c>
      <c r="D38" s="137" t="s">
        <v>422</v>
      </c>
      <c r="E38" s="138">
        <v>6000</v>
      </c>
      <c r="F38" s="136" t="s">
        <v>135</v>
      </c>
      <c r="G38" s="136" t="s">
        <v>64</v>
      </c>
      <c r="H38" s="136" t="s">
        <v>276</v>
      </c>
      <c r="I38" s="139">
        <v>0</v>
      </c>
      <c r="J38" s="139">
        <v>0</v>
      </c>
      <c r="K38" s="139">
        <v>37500</v>
      </c>
      <c r="L38" s="139">
        <v>0</v>
      </c>
      <c r="M38" s="139">
        <v>0</v>
      </c>
      <c r="N38" s="139">
        <v>37500</v>
      </c>
      <c r="O38" s="139">
        <v>0</v>
      </c>
      <c r="P38" s="139">
        <v>0</v>
      </c>
      <c r="Q38" s="139">
        <v>37500</v>
      </c>
      <c r="R38" s="139">
        <v>0</v>
      </c>
      <c r="S38" s="139">
        <v>0</v>
      </c>
      <c r="T38" s="139">
        <v>37500</v>
      </c>
      <c r="U38" s="139">
        <f t="shared" si="2"/>
        <v>150000</v>
      </c>
      <c r="V38" s="124">
        <f>'CAP15.1-Allocations'!$C$121</f>
        <v>0.65190000000000003</v>
      </c>
      <c r="W38" s="145">
        <v>0</v>
      </c>
      <c r="X38" s="204">
        <f t="shared" si="4"/>
        <v>97785</v>
      </c>
      <c r="Y38" s="204">
        <f t="shared" si="5"/>
        <v>0</v>
      </c>
      <c r="Z38" s="217">
        <f>IF(X38&gt;'Major critera'!$B$4,X38,0)</f>
        <v>0</v>
      </c>
      <c r="AA38" s="217">
        <f>IF(Y38&gt;'Major critera'!$C$4,Y38,0)</f>
        <v>0</v>
      </c>
    </row>
    <row r="39" spans="1:27" outlineLevel="1">
      <c r="A39" s="136"/>
      <c r="B39" s="136"/>
      <c r="C39" s="154" t="s">
        <v>294</v>
      </c>
      <c r="D39" s="137"/>
      <c r="E39" s="138"/>
      <c r="F39" s="136"/>
      <c r="G39" s="136"/>
      <c r="H39" s="136"/>
      <c r="I39" s="186">
        <f t="shared" ref="I39:U39" si="6">SUBTOTAL(9,I14:I38)</f>
        <v>4489546.0710000005</v>
      </c>
      <c r="J39" s="186">
        <f t="shared" si="6"/>
        <v>3449286.071</v>
      </c>
      <c r="K39" s="186">
        <f t="shared" si="6"/>
        <v>3575594.2579999999</v>
      </c>
      <c r="L39" s="186">
        <f t="shared" si="6"/>
        <v>3716181.071</v>
      </c>
      <c r="M39" s="186">
        <f t="shared" si="6"/>
        <v>4560197.0710000005</v>
      </c>
      <c r="N39" s="186">
        <f t="shared" si="6"/>
        <v>3796545.2579999999</v>
      </c>
      <c r="O39" s="186">
        <f t="shared" si="6"/>
        <v>4875867.0710000005</v>
      </c>
      <c r="P39" s="186">
        <f t="shared" si="6"/>
        <v>3881992.071</v>
      </c>
      <c r="Q39" s="186">
        <f t="shared" si="6"/>
        <v>3868026.2579999999</v>
      </c>
      <c r="R39" s="186">
        <f t="shared" si="6"/>
        <v>4185424.071</v>
      </c>
      <c r="S39" s="186">
        <f t="shared" si="6"/>
        <v>3916839.071</v>
      </c>
      <c r="T39" s="186">
        <f t="shared" si="6"/>
        <v>11751905.257999999</v>
      </c>
      <c r="U39" s="186">
        <f t="shared" si="6"/>
        <v>56067403.600000001</v>
      </c>
    </row>
    <row r="40" spans="1:27" outlineLevel="2">
      <c r="A40" s="136" t="s">
        <v>228</v>
      </c>
      <c r="B40" s="136" t="s">
        <v>201</v>
      </c>
      <c r="C40" s="136" t="s">
        <v>46</v>
      </c>
      <c r="D40" s="137" t="s">
        <v>415</v>
      </c>
      <c r="E40" s="138">
        <v>2502</v>
      </c>
      <c r="F40" s="136" t="s">
        <v>143</v>
      </c>
      <c r="G40" s="136" t="s">
        <v>356</v>
      </c>
      <c r="H40" s="136" t="s">
        <v>276</v>
      </c>
      <c r="I40" s="139"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f>SUM(I40:T40)</f>
        <v>0</v>
      </c>
    </row>
    <row r="41" spans="1:27" outlineLevel="2">
      <c r="A41" s="136" t="s">
        <v>228</v>
      </c>
      <c r="B41" s="136" t="s">
        <v>201</v>
      </c>
      <c r="C41" s="136" t="s">
        <v>46</v>
      </c>
      <c r="D41" s="137" t="s">
        <v>419</v>
      </c>
      <c r="E41" s="138">
        <v>2515</v>
      </c>
      <c r="F41" s="136" t="s">
        <v>143</v>
      </c>
      <c r="G41" s="136" t="s">
        <v>152</v>
      </c>
      <c r="H41" s="136" t="s">
        <v>276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814261</v>
      </c>
      <c r="U41" s="139">
        <f>SUM(I41:T41)</f>
        <v>814261</v>
      </c>
      <c r="V41" s="204">
        <v>0</v>
      </c>
      <c r="W41" s="204">
        <v>0</v>
      </c>
      <c r="X41" s="204">
        <f t="shared" ref="X41" si="7">U41*V41</f>
        <v>0</v>
      </c>
      <c r="Y41" s="204">
        <f t="shared" ref="Y41" si="8">U41*W41</f>
        <v>0</v>
      </c>
      <c r="Z41" s="215">
        <f>IF(X41&gt;'Major critera'!$B$4,X41,0)</f>
        <v>0</v>
      </c>
      <c r="AA41" s="124">
        <f>IF(Y41&gt;'Major critera'!$C$4,Y41,0)</f>
        <v>0</v>
      </c>
    </row>
    <row r="42" spans="1:27" outlineLevel="2">
      <c r="A42" s="136" t="s">
        <v>228</v>
      </c>
      <c r="B42" s="136" t="s">
        <v>201</v>
      </c>
      <c r="C42" s="136" t="s">
        <v>46</v>
      </c>
      <c r="D42" s="137" t="s">
        <v>354</v>
      </c>
      <c r="E42" s="138">
        <v>2570</v>
      </c>
      <c r="F42" s="136" t="s">
        <v>143</v>
      </c>
      <c r="G42" s="136" t="s">
        <v>282</v>
      </c>
      <c r="H42" s="136" t="s">
        <v>278</v>
      </c>
      <c r="I42" s="139">
        <v>0</v>
      </c>
      <c r="J42" s="139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75000</v>
      </c>
      <c r="U42" s="139">
        <f>SUM(I42:T42)</f>
        <v>75000</v>
      </c>
      <c r="V42" s="204">
        <v>0</v>
      </c>
      <c r="W42" s="204">
        <v>0</v>
      </c>
      <c r="X42" s="204">
        <f t="shared" ref="X42" si="9">U42*V42</f>
        <v>0</v>
      </c>
      <c r="Y42" s="204">
        <f t="shared" ref="Y42" si="10">U42*W42</f>
        <v>0</v>
      </c>
      <c r="Z42" s="215">
        <f>IF(X42&gt;'Major critera'!$B$4,X42,0)</f>
        <v>0</v>
      </c>
      <c r="AA42" s="124">
        <f>IF(Y42&gt;'Major critera'!$C$4,Y42,0)</f>
        <v>0</v>
      </c>
    </row>
    <row r="43" spans="1:27" outlineLevel="1">
      <c r="A43" s="136"/>
      <c r="B43" s="136"/>
      <c r="C43" s="154" t="s">
        <v>295</v>
      </c>
      <c r="D43" s="137"/>
      <c r="E43" s="138"/>
      <c r="F43" s="136"/>
      <c r="G43" s="136"/>
      <c r="H43" s="136"/>
      <c r="I43" s="186">
        <f t="shared" ref="I43:U43" si="11">SUBTOTAL(9,I40:I42)</f>
        <v>0</v>
      </c>
      <c r="J43" s="186">
        <f t="shared" si="11"/>
        <v>0</v>
      </c>
      <c r="K43" s="186">
        <f t="shared" si="11"/>
        <v>0</v>
      </c>
      <c r="L43" s="186">
        <f t="shared" si="11"/>
        <v>0</v>
      </c>
      <c r="M43" s="186">
        <f t="shared" si="11"/>
        <v>0</v>
      </c>
      <c r="N43" s="186">
        <f t="shared" si="11"/>
        <v>0</v>
      </c>
      <c r="O43" s="186">
        <f t="shared" si="11"/>
        <v>0</v>
      </c>
      <c r="P43" s="186">
        <f t="shared" si="11"/>
        <v>0</v>
      </c>
      <c r="Q43" s="186">
        <f t="shared" si="11"/>
        <v>0</v>
      </c>
      <c r="R43" s="186">
        <f t="shared" si="11"/>
        <v>0</v>
      </c>
      <c r="S43" s="186">
        <f t="shared" si="11"/>
        <v>0</v>
      </c>
      <c r="T43" s="186">
        <f t="shared" si="11"/>
        <v>889261</v>
      </c>
      <c r="U43" s="186">
        <f t="shared" si="11"/>
        <v>889261</v>
      </c>
    </row>
    <row r="44" spans="1:27" outlineLevel="2">
      <c r="A44" s="136" t="s">
        <v>228</v>
      </c>
      <c r="B44" s="136" t="s">
        <v>201</v>
      </c>
      <c r="C44" s="136" t="s">
        <v>39</v>
      </c>
      <c r="D44" s="137" t="s">
        <v>423</v>
      </c>
      <c r="E44" s="138">
        <v>2058</v>
      </c>
      <c r="F44" s="136" t="s">
        <v>143</v>
      </c>
      <c r="G44" s="136" t="s">
        <v>36</v>
      </c>
      <c r="H44" s="136" t="s">
        <v>276</v>
      </c>
      <c r="I44" s="139">
        <v>123347</v>
      </c>
      <c r="J44" s="139">
        <v>123347</v>
      </c>
      <c r="K44" s="139">
        <v>133353</v>
      </c>
      <c r="L44" s="139">
        <v>133352</v>
      </c>
      <c r="M44" s="139">
        <v>133352</v>
      </c>
      <c r="N44" s="139">
        <v>133353</v>
      </c>
      <c r="O44" s="139">
        <v>183372</v>
      </c>
      <c r="P44" s="139">
        <v>183372</v>
      </c>
      <c r="Q44" s="139">
        <v>183373</v>
      </c>
      <c r="R44" s="139">
        <v>183372</v>
      </c>
      <c r="S44" s="139">
        <v>143356</v>
      </c>
      <c r="T44" s="139">
        <v>143358</v>
      </c>
      <c r="U44" s="139">
        <f t="shared" ref="U44:U55" si="12">SUM(I44:T44)</f>
        <v>1800307</v>
      </c>
      <c r="V44" s="206">
        <v>1</v>
      </c>
      <c r="W44" s="145">
        <v>0</v>
      </c>
      <c r="X44" s="131">
        <f>U44*V44</f>
        <v>1800307</v>
      </c>
      <c r="Y44" s="131">
        <f>W44*U44</f>
        <v>0</v>
      </c>
      <c r="Z44" s="215">
        <f>IF(X44&gt;'Major critera'!$B$4,X44,0)</f>
        <v>0</v>
      </c>
      <c r="AA44" s="124">
        <f>IF(Y44&gt;'Major critera'!$C$4,Y44,0)</f>
        <v>0</v>
      </c>
    </row>
    <row r="45" spans="1:27" outlineLevel="2">
      <c r="A45" s="136" t="s">
        <v>228</v>
      </c>
      <c r="B45" s="136" t="s">
        <v>201</v>
      </c>
      <c r="C45" s="136" t="s">
        <v>39</v>
      </c>
      <c r="D45" s="137" t="s">
        <v>411</v>
      </c>
      <c r="E45" s="138">
        <v>2061</v>
      </c>
      <c r="F45" s="136" t="s">
        <v>143</v>
      </c>
      <c r="G45" s="136" t="s">
        <v>347</v>
      </c>
      <c r="H45" s="136" t="s">
        <v>277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f t="shared" si="12"/>
        <v>0</v>
      </c>
      <c r="V45" s="206">
        <v>1</v>
      </c>
      <c r="W45" s="145">
        <v>0</v>
      </c>
      <c r="X45" s="131">
        <f t="shared" ref="X45:X55" si="13">U45*V45</f>
        <v>0</v>
      </c>
      <c r="Y45" s="131">
        <f t="shared" ref="Y45:Y55" si="14">W45*U45</f>
        <v>0</v>
      </c>
      <c r="Z45" s="215">
        <f>IF(X45&gt;'Major critera'!$B$4,X45,0)</f>
        <v>0</v>
      </c>
      <c r="AA45" s="124">
        <f>IF(Y45&gt;'Major critera'!$C$4,Y45,0)</f>
        <v>0</v>
      </c>
    </row>
    <row r="46" spans="1:27" outlineLevel="2">
      <c r="A46" s="136" t="s">
        <v>228</v>
      </c>
      <c r="B46" s="136" t="s">
        <v>201</v>
      </c>
      <c r="C46" s="136" t="s">
        <v>39</v>
      </c>
      <c r="D46" s="137" t="s">
        <v>423</v>
      </c>
      <c r="E46" s="138">
        <v>2237</v>
      </c>
      <c r="F46" s="136" t="s">
        <v>143</v>
      </c>
      <c r="G46" s="136" t="s">
        <v>216</v>
      </c>
      <c r="H46" s="136" t="s">
        <v>278</v>
      </c>
      <c r="I46" s="139">
        <v>25000</v>
      </c>
      <c r="J46" s="139">
        <v>25000</v>
      </c>
      <c r="K46" s="139">
        <v>31250</v>
      </c>
      <c r="L46" s="139">
        <v>31250</v>
      </c>
      <c r="M46" s="139">
        <v>31250</v>
      </c>
      <c r="N46" s="139">
        <v>31250</v>
      </c>
      <c r="O46" s="139">
        <v>62500</v>
      </c>
      <c r="P46" s="139">
        <v>62500</v>
      </c>
      <c r="Q46" s="139">
        <v>62500</v>
      </c>
      <c r="R46" s="139">
        <v>62500</v>
      </c>
      <c r="S46" s="139">
        <v>37500</v>
      </c>
      <c r="T46" s="139">
        <v>37496</v>
      </c>
      <c r="U46" s="139">
        <f t="shared" si="12"/>
        <v>499996</v>
      </c>
      <c r="V46" s="206">
        <v>1</v>
      </c>
      <c r="W46" s="145">
        <v>0</v>
      </c>
      <c r="X46" s="131">
        <f t="shared" si="13"/>
        <v>499996</v>
      </c>
      <c r="Y46" s="131">
        <f t="shared" si="14"/>
        <v>0</v>
      </c>
      <c r="Z46" s="215">
        <f>IF(X46&gt;'Major critera'!$B$4,X46,0)</f>
        <v>0</v>
      </c>
      <c r="AA46" s="124">
        <f>IF(Y46&gt;'Major critera'!$C$4,Y46,0)</f>
        <v>0</v>
      </c>
    </row>
    <row r="47" spans="1:27" outlineLevel="2">
      <c r="A47" s="136" t="s">
        <v>228</v>
      </c>
      <c r="B47" s="136" t="s">
        <v>201</v>
      </c>
      <c r="C47" s="136" t="s">
        <v>39</v>
      </c>
      <c r="D47" s="137" t="s">
        <v>424</v>
      </c>
      <c r="E47" s="138">
        <v>2289</v>
      </c>
      <c r="F47" s="136" t="s">
        <v>143</v>
      </c>
      <c r="G47" s="136" t="s">
        <v>279</v>
      </c>
      <c r="H47" s="136" t="s">
        <v>278</v>
      </c>
      <c r="I47" s="139">
        <v>83338</v>
      </c>
      <c r="J47" s="139">
        <v>83338</v>
      </c>
      <c r="K47" s="139">
        <v>83339</v>
      </c>
      <c r="L47" s="139">
        <v>83338</v>
      </c>
      <c r="M47" s="139">
        <v>83338</v>
      </c>
      <c r="N47" s="139">
        <v>83339</v>
      </c>
      <c r="O47" s="139">
        <v>83338</v>
      </c>
      <c r="P47" s="139">
        <v>83338</v>
      </c>
      <c r="Q47" s="139">
        <v>958339</v>
      </c>
      <c r="R47" s="139">
        <v>83338</v>
      </c>
      <c r="S47" s="139">
        <v>83338</v>
      </c>
      <c r="T47" s="139">
        <v>233339</v>
      </c>
      <c r="U47" s="139">
        <f t="shared" si="12"/>
        <v>2025060</v>
      </c>
      <c r="V47" s="206">
        <v>1</v>
      </c>
      <c r="W47" s="145">
        <v>0</v>
      </c>
      <c r="X47" s="131">
        <f t="shared" si="13"/>
        <v>2025060</v>
      </c>
      <c r="Y47" s="131">
        <f t="shared" si="14"/>
        <v>0</v>
      </c>
      <c r="Z47" s="215">
        <f>IF(X47&gt;'Major critera'!$B$4,X47,0)</f>
        <v>0</v>
      </c>
      <c r="AA47" s="124">
        <f>IF(Y47&gt;'Major critera'!$C$4,Y47,0)</f>
        <v>0</v>
      </c>
    </row>
    <row r="48" spans="1:27" outlineLevel="2">
      <c r="A48" s="136" t="s">
        <v>228</v>
      </c>
      <c r="B48" s="136" t="s">
        <v>201</v>
      </c>
      <c r="C48" s="136" t="s">
        <v>39</v>
      </c>
      <c r="D48" s="137" t="s">
        <v>415</v>
      </c>
      <c r="E48" s="138">
        <v>2317</v>
      </c>
      <c r="F48" s="136" t="s">
        <v>143</v>
      </c>
      <c r="G48" s="136" t="s">
        <v>352</v>
      </c>
      <c r="H48" s="136" t="s">
        <v>276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f t="shared" si="12"/>
        <v>0</v>
      </c>
      <c r="V48" s="206">
        <v>1</v>
      </c>
      <c r="W48" s="145">
        <v>0</v>
      </c>
      <c r="X48" s="131">
        <f t="shared" si="13"/>
        <v>0</v>
      </c>
      <c r="Y48" s="131">
        <f t="shared" si="14"/>
        <v>0</v>
      </c>
      <c r="Z48" s="215">
        <f>IF(X48&gt;'Major critera'!$B$4,X48,0)</f>
        <v>0</v>
      </c>
      <c r="AA48" s="124">
        <f>IF(Y48&gt;'Major critera'!$C$4,Y48,0)</f>
        <v>0</v>
      </c>
    </row>
    <row r="49" spans="1:27" outlineLevel="2">
      <c r="A49" s="136" t="s">
        <v>228</v>
      </c>
      <c r="B49" s="136" t="s">
        <v>201</v>
      </c>
      <c r="C49" s="136" t="s">
        <v>39</v>
      </c>
      <c r="D49" s="137" t="s">
        <v>425</v>
      </c>
      <c r="E49" s="138">
        <v>2443</v>
      </c>
      <c r="F49" s="136" t="s">
        <v>143</v>
      </c>
      <c r="G49" s="136" t="s">
        <v>200</v>
      </c>
      <c r="H49" s="136" t="s">
        <v>276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1900000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126134</v>
      </c>
      <c r="U49" s="139">
        <f t="shared" si="12"/>
        <v>2026134</v>
      </c>
      <c r="V49" s="206">
        <v>1</v>
      </c>
      <c r="W49" s="145">
        <v>0</v>
      </c>
      <c r="X49" s="131">
        <f t="shared" si="13"/>
        <v>2026134</v>
      </c>
      <c r="Y49" s="131">
        <f t="shared" si="14"/>
        <v>0</v>
      </c>
      <c r="Z49" s="215">
        <f>IF(X49&gt;'Major critera'!$B$4,X49,0)</f>
        <v>0</v>
      </c>
      <c r="AA49" s="124">
        <f>IF(Y49&gt;'Major critera'!$C$4,Y49,0)</f>
        <v>0</v>
      </c>
    </row>
    <row r="50" spans="1:27" outlineLevel="2">
      <c r="A50" s="136" t="s">
        <v>228</v>
      </c>
      <c r="B50" s="136" t="s">
        <v>201</v>
      </c>
      <c r="C50" s="136" t="s">
        <v>39</v>
      </c>
      <c r="D50" s="137" t="s">
        <v>419</v>
      </c>
      <c r="E50" s="138">
        <v>2514</v>
      </c>
      <c r="F50" s="136" t="s">
        <v>143</v>
      </c>
      <c r="G50" s="136" t="s">
        <v>151</v>
      </c>
      <c r="H50" s="136" t="s">
        <v>276</v>
      </c>
      <c r="I50" s="139">
        <v>0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2121026</v>
      </c>
      <c r="U50" s="139">
        <f t="shared" si="12"/>
        <v>2121026</v>
      </c>
      <c r="V50" s="206">
        <v>1</v>
      </c>
      <c r="W50" s="145">
        <v>0</v>
      </c>
      <c r="X50" s="131">
        <f t="shared" si="13"/>
        <v>2121026</v>
      </c>
      <c r="Y50" s="131">
        <f t="shared" si="14"/>
        <v>0</v>
      </c>
      <c r="Z50" s="215">
        <f>IF(X50&gt;'Major critera'!$B$4,X50,0)</f>
        <v>0</v>
      </c>
      <c r="AA50" s="124">
        <f>IF(Y50&gt;'Major critera'!$C$4,Y50,0)</f>
        <v>0</v>
      </c>
    </row>
    <row r="51" spans="1:27" outlineLevel="2">
      <c r="A51" s="136" t="s">
        <v>228</v>
      </c>
      <c r="B51" s="136" t="s">
        <v>201</v>
      </c>
      <c r="C51" s="136" t="s">
        <v>39</v>
      </c>
      <c r="D51" s="137" t="s">
        <v>415</v>
      </c>
      <c r="E51" s="138">
        <v>2566</v>
      </c>
      <c r="F51" s="136" t="s">
        <v>143</v>
      </c>
      <c r="G51" s="136" t="s">
        <v>361</v>
      </c>
      <c r="H51" s="136" t="s">
        <v>276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f t="shared" si="12"/>
        <v>0</v>
      </c>
      <c r="V51" s="206">
        <v>1</v>
      </c>
      <c r="W51" s="145">
        <v>0</v>
      </c>
      <c r="X51" s="131">
        <f t="shared" si="13"/>
        <v>0</v>
      </c>
      <c r="Y51" s="131">
        <f t="shared" si="14"/>
        <v>0</v>
      </c>
      <c r="Z51" s="215">
        <f>IF(X51&gt;'Major critera'!$B$4,X51,0)</f>
        <v>0</v>
      </c>
      <c r="AA51" s="124">
        <f>IF(Y51&gt;'Major critera'!$C$4,Y51,0)</f>
        <v>0</v>
      </c>
    </row>
    <row r="52" spans="1:27" outlineLevel="2">
      <c r="A52" s="136" t="s">
        <v>228</v>
      </c>
      <c r="B52" s="136" t="s">
        <v>201</v>
      </c>
      <c r="C52" s="136" t="s">
        <v>39</v>
      </c>
      <c r="D52" s="137" t="s">
        <v>415</v>
      </c>
      <c r="E52" s="138">
        <v>2567</v>
      </c>
      <c r="F52" s="136" t="s">
        <v>143</v>
      </c>
      <c r="G52" s="136" t="s">
        <v>362</v>
      </c>
      <c r="H52" s="136" t="s">
        <v>276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f t="shared" si="12"/>
        <v>0</v>
      </c>
      <c r="V52" s="206">
        <v>1</v>
      </c>
      <c r="W52" s="145">
        <v>0</v>
      </c>
      <c r="X52" s="131">
        <f t="shared" si="13"/>
        <v>0</v>
      </c>
      <c r="Y52" s="131">
        <f t="shared" si="14"/>
        <v>0</v>
      </c>
      <c r="Z52" s="215">
        <f>IF(X52&gt;'Major critera'!$B$4,X52,0)</f>
        <v>0</v>
      </c>
      <c r="AA52" s="124">
        <f>IF(Y52&gt;'Major critera'!$C$4,Y52,0)</f>
        <v>0</v>
      </c>
    </row>
    <row r="53" spans="1:27" outlineLevel="2">
      <c r="A53" s="136" t="s">
        <v>228</v>
      </c>
      <c r="B53" s="136" t="s">
        <v>201</v>
      </c>
      <c r="C53" s="136" t="s">
        <v>39</v>
      </c>
      <c r="D53" s="137" t="s">
        <v>415</v>
      </c>
      <c r="E53" s="138">
        <v>2569</v>
      </c>
      <c r="F53" s="136" t="s">
        <v>143</v>
      </c>
      <c r="G53" s="136" t="s">
        <v>363</v>
      </c>
      <c r="H53" s="136" t="s">
        <v>276</v>
      </c>
      <c r="I53" s="139">
        <v>0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1107800</v>
      </c>
      <c r="S53" s="139">
        <v>99291</v>
      </c>
      <c r="T53" s="139">
        <v>0</v>
      </c>
      <c r="U53" s="139">
        <f t="shared" si="12"/>
        <v>1207091</v>
      </c>
      <c r="V53" s="206">
        <v>1</v>
      </c>
      <c r="W53" s="145">
        <v>0</v>
      </c>
      <c r="X53" s="131">
        <f t="shared" si="13"/>
        <v>1207091</v>
      </c>
      <c r="Y53" s="131">
        <f t="shared" si="14"/>
        <v>0</v>
      </c>
      <c r="Z53" s="215">
        <f>IF(X53&gt;'Major critera'!$B$4,X53,0)</f>
        <v>0</v>
      </c>
      <c r="AA53" s="124">
        <f>IF(Y53&gt;'Major critera'!$C$4,Y53,0)</f>
        <v>0</v>
      </c>
    </row>
    <row r="54" spans="1:27" outlineLevel="2">
      <c r="A54" s="136" t="s">
        <v>228</v>
      </c>
      <c r="B54" s="136" t="s">
        <v>201</v>
      </c>
      <c r="C54" s="136" t="s">
        <v>39</v>
      </c>
      <c r="D54" s="137" t="s">
        <v>415</v>
      </c>
      <c r="E54" s="138">
        <v>2590</v>
      </c>
      <c r="F54" s="136" t="s">
        <v>143</v>
      </c>
      <c r="G54" s="136" t="s">
        <v>368</v>
      </c>
      <c r="H54" s="136" t="s">
        <v>276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750000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f t="shared" si="12"/>
        <v>750000</v>
      </c>
      <c r="V54" s="206">
        <v>1</v>
      </c>
      <c r="W54" s="145">
        <v>0</v>
      </c>
      <c r="X54" s="131">
        <f t="shared" si="13"/>
        <v>750000</v>
      </c>
      <c r="Y54" s="131">
        <f t="shared" si="14"/>
        <v>0</v>
      </c>
      <c r="Z54" s="215">
        <f>IF(X54&gt;'Major critera'!$B$4,X54,0)</f>
        <v>0</v>
      </c>
      <c r="AA54" s="124">
        <f>IF(Y54&gt;'Major critera'!$C$4,Y54,0)</f>
        <v>0</v>
      </c>
    </row>
    <row r="55" spans="1:27" outlineLevel="2">
      <c r="A55" s="136" t="s">
        <v>228</v>
      </c>
      <c r="B55" s="136" t="s">
        <v>201</v>
      </c>
      <c r="C55" s="136" t="s">
        <v>39</v>
      </c>
      <c r="D55" s="137" t="s">
        <v>426</v>
      </c>
      <c r="E55" s="138">
        <v>7108</v>
      </c>
      <c r="F55" s="136" t="s">
        <v>142</v>
      </c>
      <c r="G55" s="136" t="s">
        <v>74</v>
      </c>
      <c r="H55" s="136" t="s">
        <v>276</v>
      </c>
      <c r="I55" s="139">
        <v>35614</v>
      </c>
      <c r="J55" s="139">
        <v>35614</v>
      </c>
      <c r="K55" s="139">
        <v>35615</v>
      </c>
      <c r="L55" s="139">
        <v>35614</v>
      </c>
      <c r="M55" s="139">
        <v>35614</v>
      </c>
      <c r="N55" s="139">
        <v>35615</v>
      </c>
      <c r="O55" s="139">
        <v>35614</v>
      </c>
      <c r="P55" s="139">
        <v>35614</v>
      </c>
      <c r="Q55" s="139">
        <v>35615</v>
      </c>
      <c r="R55" s="139">
        <v>35614</v>
      </c>
      <c r="S55" s="139">
        <v>35614</v>
      </c>
      <c r="T55" s="139">
        <v>35615</v>
      </c>
      <c r="U55" s="139">
        <f t="shared" si="12"/>
        <v>427372</v>
      </c>
      <c r="V55" s="206">
        <v>1</v>
      </c>
      <c r="W55" s="145">
        <v>0</v>
      </c>
      <c r="X55" s="131">
        <f t="shared" si="13"/>
        <v>427372</v>
      </c>
      <c r="Y55" s="131">
        <f t="shared" si="14"/>
        <v>0</v>
      </c>
      <c r="Z55" s="215">
        <f>IF(X55&gt;'Major critera'!$B$4,X55,0)</f>
        <v>0</v>
      </c>
      <c r="AA55" s="124">
        <f>IF(Y55&gt;'Major critera'!$C$4,Y55,0)</f>
        <v>0</v>
      </c>
    </row>
    <row r="56" spans="1:27" outlineLevel="1">
      <c r="A56" s="136"/>
      <c r="B56" s="136"/>
      <c r="C56" s="154" t="s">
        <v>296</v>
      </c>
      <c r="D56" s="137"/>
      <c r="E56" s="138"/>
      <c r="F56" s="136"/>
      <c r="G56" s="136"/>
      <c r="H56" s="136"/>
      <c r="I56" s="186">
        <f t="shared" ref="I56:U56" si="15">SUBTOTAL(9,I44:I55)</f>
        <v>267299</v>
      </c>
      <c r="J56" s="186">
        <f t="shared" si="15"/>
        <v>267299</v>
      </c>
      <c r="K56" s="186">
        <f t="shared" si="15"/>
        <v>283557</v>
      </c>
      <c r="L56" s="186">
        <f t="shared" si="15"/>
        <v>283554</v>
      </c>
      <c r="M56" s="186">
        <f t="shared" si="15"/>
        <v>283554</v>
      </c>
      <c r="N56" s="186">
        <f t="shared" si="15"/>
        <v>2183557</v>
      </c>
      <c r="O56" s="186">
        <f t="shared" si="15"/>
        <v>1114824</v>
      </c>
      <c r="P56" s="186">
        <f t="shared" si="15"/>
        <v>364824</v>
      </c>
      <c r="Q56" s="186">
        <f t="shared" si="15"/>
        <v>1239827</v>
      </c>
      <c r="R56" s="186">
        <f t="shared" si="15"/>
        <v>1472624</v>
      </c>
      <c r="S56" s="186">
        <f t="shared" si="15"/>
        <v>399099</v>
      </c>
      <c r="T56" s="186">
        <f t="shared" si="15"/>
        <v>2696968</v>
      </c>
      <c r="U56" s="186">
        <f t="shared" si="15"/>
        <v>10856986</v>
      </c>
      <c r="X56" s="131"/>
      <c r="Y56" s="131"/>
    </row>
    <row r="57" spans="1:27">
      <c r="A57" s="136"/>
      <c r="B57" s="136"/>
      <c r="C57" s="154" t="s">
        <v>126</v>
      </c>
      <c r="D57" s="137"/>
      <c r="E57" s="138"/>
      <c r="F57" s="136"/>
      <c r="G57" s="136"/>
      <c r="H57" s="136"/>
      <c r="I57" s="186">
        <f t="shared" ref="I57:T57" si="16">SUBTOTAL(9,I12:I55)</f>
        <v>4756845.0710000005</v>
      </c>
      <c r="J57" s="186">
        <f t="shared" si="16"/>
        <v>3716585.071</v>
      </c>
      <c r="K57" s="186">
        <f t="shared" si="16"/>
        <v>3859151.2579999999</v>
      </c>
      <c r="L57" s="186">
        <f t="shared" si="16"/>
        <v>3999735.071</v>
      </c>
      <c r="M57" s="186">
        <f t="shared" si="16"/>
        <v>4843751.0710000005</v>
      </c>
      <c r="N57" s="186">
        <f t="shared" si="16"/>
        <v>5980102.2579999994</v>
      </c>
      <c r="O57" s="186">
        <f t="shared" si="16"/>
        <v>5990691.0710000005</v>
      </c>
      <c r="P57" s="186">
        <f t="shared" si="16"/>
        <v>4246816.0710000005</v>
      </c>
      <c r="Q57" s="186">
        <f t="shared" si="16"/>
        <v>5107853.2579999994</v>
      </c>
      <c r="R57" s="186">
        <f t="shared" si="16"/>
        <v>5658048.0710000005</v>
      </c>
      <c r="S57" s="186">
        <f t="shared" si="16"/>
        <v>4315938.0710000005</v>
      </c>
      <c r="T57" s="186">
        <f t="shared" si="16"/>
        <v>15338134.257999999</v>
      </c>
      <c r="U57" s="186">
        <f>SUBTOTAL(9,U12:U55)</f>
        <v>67813650.599999994</v>
      </c>
    </row>
    <row r="58" spans="1:27">
      <c r="A58" s="136"/>
      <c r="B58" s="136"/>
      <c r="C58" s="136"/>
      <c r="D58" s="137"/>
      <c r="E58" s="138"/>
      <c r="F58" s="136"/>
      <c r="G58" s="136"/>
      <c r="H58" s="136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</row>
    <row r="59" spans="1:27" outlineLevel="2">
      <c r="A59" s="136" t="s">
        <v>230</v>
      </c>
      <c r="B59" s="136" t="s">
        <v>201</v>
      </c>
      <c r="C59" s="136" t="s">
        <v>40</v>
      </c>
      <c r="D59" s="137" t="s">
        <v>408</v>
      </c>
      <c r="E59" s="138">
        <v>2000</v>
      </c>
      <c r="F59" s="136" t="s">
        <v>143</v>
      </c>
      <c r="G59" s="136" t="s">
        <v>346</v>
      </c>
      <c r="H59" s="136" t="s">
        <v>276</v>
      </c>
      <c r="I59" s="139">
        <v>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3100000</v>
      </c>
      <c r="R59" s="139">
        <v>0</v>
      </c>
      <c r="S59" s="139">
        <v>0</v>
      </c>
      <c r="T59" s="139">
        <v>0</v>
      </c>
      <c r="U59" s="139">
        <f t="shared" ref="U59:U86" si="17">SUM(I59:T59)</f>
        <v>3100000</v>
      </c>
      <c r="V59" s="124">
        <f>'CAP15.1-Allocations'!$C$121</f>
        <v>0.65190000000000003</v>
      </c>
      <c r="W59" s="145">
        <v>0</v>
      </c>
      <c r="X59" s="131">
        <f>U59*V59</f>
        <v>2020890</v>
      </c>
      <c r="Y59" s="131">
        <f>W59*U59</f>
        <v>0</v>
      </c>
      <c r="Z59" s="215">
        <f>IF(X59&gt;'Major critera'!$B$4,X59,0)</f>
        <v>0</v>
      </c>
      <c r="AA59" s="124">
        <f>IF(Y59&gt;'Major critera'!$C$4,Y59,0)</f>
        <v>0</v>
      </c>
    </row>
    <row r="60" spans="1:27" outlineLevel="2">
      <c r="A60" s="136" t="s">
        <v>230</v>
      </c>
      <c r="B60" s="136" t="s">
        <v>201</v>
      </c>
      <c r="C60" s="136" t="s">
        <v>40</v>
      </c>
      <c r="D60" s="137" t="s">
        <v>408</v>
      </c>
      <c r="E60" s="138">
        <v>2001</v>
      </c>
      <c r="F60" s="136" t="s">
        <v>143</v>
      </c>
      <c r="G60" s="136" t="s">
        <v>32</v>
      </c>
      <c r="H60" s="136" t="s">
        <v>276</v>
      </c>
      <c r="I60" s="139">
        <v>0</v>
      </c>
      <c r="J60" s="139">
        <v>0</v>
      </c>
      <c r="K60" s="139">
        <v>160000</v>
      </c>
      <c r="L60" s="139">
        <v>0</v>
      </c>
      <c r="M60" s="139">
        <v>160000</v>
      </c>
      <c r="N60" s="139">
        <v>0</v>
      </c>
      <c r="O60" s="139">
        <v>0</v>
      </c>
      <c r="P60" s="139">
        <v>0</v>
      </c>
      <c r="Q60" s="139">
        <v>320000</v>
      </c>
      <c r="R60" s="139">
        <v>0</v>
      </c>
      <c r="S60" s="139">
        <v>160000</v>
      </c>
      <c r="T60" s="139">
        <v>0</v>
      </c>
      <c r="U60" s="139">
        <f t="shared" si="17"/>
        <v>800000</v>
      </c>
      <c r="V60" s="124">
        <f>'CAP15.1-Allocations'!$C$121</f>
        <v>0.65190000000000003</v>
      </c>
      <c r="W60" s="145">
        <v>0</v>
      </c>
      <c r="X60" s="131">
        <f t="shared" ref="X60:X86" si="18">U60*V60</f>
        <v>521520</v>
      </c>
      <c r="Y60" s="131">
        <f t="shared" ref="Y60:Y86" si="19">W60*U60</f>
        <v>0</v>
      </c>
      <c r="Z60" s="215">
        <f>IF(X60&gt;'Major critera'!$B$4,X60,0)</f>
        <v>0</v>
      </c>
      <c r="AA60" s="124">
        <f>IF(Y60&gt;'Major critera'!$C$4,Y60,0)</f>
        <v>0</v>
      </c>
    </row>
    <row r="61" spans="1:27" outlineLevel="2">
      <c r="A61" s="136" t="s">
        <v>230</v>
      </c>
      <c r="B61" s="136" t="s">
        <v>201</v>
      </c>
      <c r="C61" s="136" t="s">
        <v>40</v>
      </c>
      <c r="D61" s="137" t="s">
        <v>412</v>
      </c>
      <c r="E61" s="138">
        <v>2051</v>
      </c>
      <c r="F61" s="136" t="s">
        <v>143</v>
      </c>
      <c r="G61" s="136" t="s">
        <v>214</v>
      </c>
      <c r="H61" s="136" t="s">
        <v>276</v>
      </c>
      <c r="I61" s="139">
        <v>129071</v>
      </c>
      <c r="J61" s="139">
        <v>95949</v>
      </c>
      <c r="K61" s="139">
        <v>77596</v>
      </c>
      <c r="L61" s="139">
        <v>71835</v>
      </c>
      <c r="M61" s="139">
        <v>65779</v>
      </c>
      <c r="N61" s="139">
        <v>62307</v>
      </c>
      <c r="O61" s="139">
        <v>82590</v>
      </c>
      <c r="P61" s="139">
        <v>60402</v>
      </c>
      <c r="Q61" s="139">
        <v>69452</v>
      </c>
      <c r="R61" s="139">
        <v>80802</v>
      </c>
      <c r="S61" s="139">
        <v>96955</v>
      </c>
      <c r="T61" s="139">
        <v>107262</v>
      </c>
      <c r="U61" s="139">
        <f t="shared" si="17"/>
        <v>1000000</v>
      </c>
      <c r="V61" s="124">
        <f>'CAP15.1-Allocations'!$C$121</f>
        <v>0.65190000000000003</v>
      </c>
      <c r="W61" s="145">
        <v>0</v>
      </c>
      <c r="X61" s="131">
        <f t="shared" si="18"/>
        <v>651900</v>
      </c>
      <c r="Y61" s="131">
        <f t="shared" si="19"/>
        <v>0</v>
      </c>
      <c r="Z61" s="215">
        <f>IF(X61&gt;'Major critera'!$B$4,X61,0)</f>
        <v>0</v>
      </c>
      <c r="AA61" s="124">
        <f>IF(Y61&gt;'Major critera'!$C$4,Y61,0)</f>
        <v>0</v>
      </c>
    </row>
    <row r="62" spans="1:27" outlineLevel="2">
      <c r="A62" s="136" t="s">
        <v>230</v>
      </c>
      <c r="B62" s="136" t="s">
        <v>201</v>
      </c>
      <c r="C62" s="136" t="s">
        <v>40</v>
      </c>
      <c r="D62" s="137" t="s">
        <v>427</v>
      </c>
      <c r="E62" s="138">
        <v>2057</v>
      </c>
      <c r="F62" s="136" t="s">
        <v>143</v>
      </c>
      <c r="G62" s="136" t="s">
        <v>35</v>
      </c>
      <c r="H62" s="136" t="s">
        <v>276</v>
      </c>
      <c r="I62" s="139">
        <v>66197</v>
      </c>
      <c r="J62" s="139">
        <v>66197</v>
      </c>
      <c r="K62" s="139">
        <v>88380</v>
      </c>
      <c r="L62" s="139">
        <v>88380</v>
      </c>
      <c r="M62" s="139">
        <v>166024</v>
      </c>
      <c r="N62" s="139">
        <v>166024</v>
      </c>
      <c r="O62" s="139">
        <v>166024</v>
      </c>
      <c r="P62" s="139">
        <v>180813</v>
      </c>
      <c r="Q62" s="139">
        <v>180813</v>
      </c>
      <c r="R62" s="139">
        <v>180813</v>
      </c>
      <c r="S62" s="139">
        <v>77289</v>
      </c>
      <c r="T62" s="139">
        <v>62501</v>
      </c>
      <c r="U62" s="139">
        <f t="shared" si="17"/>
        <v>1489455</v>
      </c>
      <c r="V62" s="124">
        <f>'CAP15.1-Allocations'!$C$121</f>
        <v>0.65190000000000003</v>
      </c>
      <c r="W62" s="145">
        <v>0</v>
      </c>
      <c r="X62" s="131">
        <f t="shared" si="18"/>
        <v>970975.7145</v>
      </c>
      <c r="Y62" s="131">
        <f t="shared" si="19"/>
        <v>0</v>
      </c>
      <c r="Z62" s="215">
        <f>IF(X62&gt;'Major critera'!$B$4,X62,0)</f>
        <v>0</v>
      </c>
      <c r="AA62" s="124">
        <f>IF(Y62&gt;'Major critera'!$C$4,Y62,0)</f>
        <v>0</v>
      </c>
    </row>
    <row r="63" spans="1:27" outlineLevel="2">
      <c r="A63" s="136" t="s">
        <v>230</v>
      </c>
      <c r="B63" s="136" t="s">
        <v>201</v>
      </c>
      <c r="C63" s="136" t="s">
        <v>40</v>
      </c>
      <c r="D63" s="137" t="s">
        <v>428</v>
      </c>
      <c r="E63" s="138">
        <v>2214</v>
      </c>
      <c r="F63" s="136" t="s">
        <v>143</v>
      </c>
      <c r="G63" s="136" t="s">
        <v>349</v>
      </c>
      <c r="H63" s="136" t="s">
        <v>276</v>
      </c>
      <c r="I63" s="139">
        <v>40953</v>
      </c>
      <c r="J63" s="139">
        <v>40953</v>
      </c>
      <c r="K63" s="139">
        <v>40953</v>
      </c>
      <c r="L63" s="139">
        <v>40953</v>
      </c>
      <c r="M63" s="139">
        <v>40953</v>
      </c>
      <c r="N63" s="139">
        <v>40953</v>
      </c>
      <c r="O63" s="139">
        <v>40953</v>
      </c>
      <c r="P63" s="139">
        <v>40953</v>
      </c>
      <c r="Q63" s="139">
        <v>40953</v>
      </c>
      <c r="R63" s="139">
        <v>40953</v>
      </c>
      <c r="S63" s="139">
        <v>40953</v>
      </c>
      <c r="T63" s="139">
        <v>40953</v>
      </c>
      <c r="U63" s="139">
        <f t="shared" si="17"/>
        <v>491436</v>
      </c>
      <c r="V63" s="124">
        <f>'CAP15.1-Allocations'!$C$121</f>
        <v>0.65190000000000003</v>
      </c>
      <c r="W63" s="145">
        <v>0</v>
      </c>
      <c r="X63" s="131">
        <f t="shared" si="18"/>
        <v>320367.12840000005</v>
      </c>
      <c r="Y63" s="131">
        <f t="shared" si="19"/>
        <v>0</v>
      </c>
      <c r="Z63" s="215">
        <f>IF(X63&gt;'Major critera'!$B$4,X63,0)</f>
        <v>0</v>
      </c>
      <c r="AA63" s="124">
        <f>IF(Y63&gt;'Major critera'!$C$4,Y63,0)</f>
        <v>0</v>
      </c>
    </row>
    <row r="64" spans="1:27" outlineLevel="2">
      <c r="A64" s="136" t="s">
        <v>230</v>
      </c>
      <c r="B64" s="136" t="s">
        <v>201</v>
      </c>
      <c r="C64" s="136" t="s">
        <v>40</v>
      </c>
      <c r="D64" s="137" t="s">
        <v>416</v>
      </c>
      <c r="E64" s="138">
        <v>2215</v>
      </c>
      <c r="F64" s="136" t="s">
        <v>143</v>
      </c>
      <c r="G64" s="136" t="s">
        <v>241</v>
      </c>
      <c r="H64" s="136" t="s">
        <v>276</v>
      </c>
      <c r="I64" s="139">
        <v>0</v>
      </c>
      <c r="J64" s="139">
        <v>0</v>
      </c>
      <c r="K64" s="139">
        <v>0</v>
      </c>
      <c r="L64" s="139">
        <v>100000</v>
      </c>
      <c r="M64" s="139">
        <v>0</v>
      </c>
      <c r="N64" s="139">
        <v>0</v>
      </c>
      <c r="O64" s="139">
        <v>0</v>
      </c>
      <c r="P64" s="139">
        <v>100000</v>
      </c>
      <c r="Q64" s="139">
        <v>0</v>
      </c>
      <c r="R64" s="139">
        <v>100000</v>
      </c>
      <c r="S64" s="139">
        <v>100000</v>
      </c>
      <c r="T64" s="139">
        <v>0</v>
      </c>
      <c r="U64" s="139">
        <f t="shared" si="17"/>
        <v>400000</v>
      </c>
      <c r="V64" s="124">
        <f>'CAP15.1-Allocations'!$C$121</f>
        <v>0.65190000000000003</v>
      </c>
      <c r="W64" s="145">
        <v>0</v>
      </c>
      <c r="X64" s="131">
        <f t="shared" si="18"/>
        <v>260760</v>
      </c>
      <c r="Y64" s="131">
        <f t="shared" si="19"/>
        <v>0</v>
      </c>
      <c r="Z64" s="215">
        <f>IF(X64&gt;'Major critera'!$B$4,X64,0)</f>
        <v>0</v>
      </c>
      <c r="AA64" s="124">
        <f>IF(Y64&gt;'Major critera'!$C$4,Y64,0)</f>
        <v>0</v>
      </c>
    </row>
    <row r="65" spans="1:27" outlineLevel="2">
      <c r="A65" s="136" t="s">
        <v>230</v>
      </c>
      <c r="B65" s="136" t="s">
        <v>201</v>
      </c>
      <c r="C65" s="136" t="s">
        <v>40</v>
      </c>
      <c r="D65" s="137" t="s">
        <v>429</v>
      </c>
      <c r="E65" s="138">
        <v>2217</v>
      </c>
      <c r="F65" s="136" t="s">
        <v>143</v>
      </c>
      <c r="G65" s="136" t="s">
        <v>45</v>
      </c>
      <c r="H65" s="136" t="s">
        <v>278</v>
      </c>
      <c r="I65" s="139">
        <v>0</v>
      </c>
      <c r="J65" s="139">
        <v>0</v>
      </c>
      <c r="K65" s="139">
        <v>0</v>
      </c>
      <c r="L65" s="139">
        <v>0</v>
      </c>
      <c r="M65" s="139">
        <v>1000000</v>
      </c>
      <c r="N65" s="139">
        <v>0</v>
      </c>
      <c r="O65" s="139">
        <v>0</v>
      </c>
      <c r="P65" s="139">
        <v>0</v>
      </c>
      <c r="Q65" s="139">
        <v>525000</v>
      </c>
      <c r="R65" s="139">
        <v>0</v>
      </c>
      <c r="S65" s="139">
        <v>0</v>
      </c>
      <c r="T65" s="139">
        <v>0</v>
      </c>
      <c r="U65" s="139">
        <f t="shared" si="17"/>
        <v>1525000</v>
      </c>
      <c r="V65" s="124">
        <f>'CAP15.1-Allocations'!$C$121</f>
        <v>0.65190000000000003</v>
      </c>
      <c r="W65" s="145">
        <v>0</v>
      </c>
      <c r="X65" s="131">
        <f t="shared" si="18"/>
        <v>994147.5</v>
      </c>
      <c r="Y65" s="131">
        <f t="shared" si="19"/>
        <v>0</v>
      </c>
      <c r="Z65" s="215">
        <f>IF(X65&gt;'Major critera'!$B$4,X65,0)</f>
        <v>0</v>
      </c>
      <c r="AA65" s="124">
        <f>IF(Y65&gt;'Major critera'!$C$4,Y65,0)</f>
        <v>0</v>
      </c>
    </row>
    <row r="66" spans="1:27" outlineLevel="2">
      <c r="A66" s="136" t="s">
        <v>230</v>
      </c>
      <c r="B66" s="136" t="s">
        <v>201</v>
      </c>
      <c r="C66" s="136" t="s">
        <v>40</v>
      </c>
      <c r="D66" s="137" t="s">
        <v>416</v>
      </c>
      <c r="E66" s="138">
        <v>2252</v>
      </c>
      <c r="F66" s="136" t="s">
        <v>143</v>
      </c>
      <c r="G66" s="136" t="s">
        <v>198</v>
      </c>
      <c r="H66" s="136" t="s">
        <v>276</v>
      </c>
      <c r="I66" s="139">
        <v>0</v>
      </c>
      <c r="J66" s="139">
        <v>0</v>
      </c>
      <c r="K66" s="139">
        <v>75000</v>
      </c>
      <c r="L66" s="139">
        <v>0</v>
      </c>
      <c r="M66" s="139">
        <v>0</v>
      </c>
      <c r="N66" s="139">
        <v>75000</v>
      </c>
      <c r="O66" s="139">
        <v>0</v>
      </c>
      <c r="P66" s="139">
        <v>0</v>
      </c>
      <c r="Q66" s="139">
        <v>75000</v>
      </c>
      <c r="R66" s="139">
        <v>50000</v>
      </c>
      <c r="S66" s="139">
        <v>0</v>
      </c>
      <c r="T66" s="139">
        <v>75000</v>
      </c>
      <c r="U66" s="139">
        <f t="shared" si="17"/>
        <v>350000</v>
      </c>
      <c r="V66" s="124">
        <f>'CAP15.1-Allocations'!$C$121</f>
        <v>0.65190000000000003</v>
      </c>
      <c r="W66" s="145">
        <v>0</v>
      </c>
      <c r="X66" s="131">
        <f t="shared" si="18"/>
        <v>228165</v>
      </c>
      <c r="Y66" s="131">
        <f t="shared" si="19"/>
        <v>0</v>
      </c>
      <c r="Z66" s="215">
        <f>IF(X66&gt;'Major critera'!$B$4,X66,0)</f>
        <v>0</v>
      </c>
      <c r="AA66" s="124">
        <f>IF(Y66&gt;'Major critera'!$C$4,Y66,0)</f>
        <v>0</v>
      </c>
    </row>
    <row r="67" spans="1:27" outlineLevel="2">
      <c r="A67" s="136" t="s">
        <v>230</v>
      </c>
      <c r="B67" s="136" t="s">
        <v>201</v>
      </c>
      <c r="C67" s="136" t="s">
        <v>40</v>
      </c>
      <c r="D67" s="137" t="s">
        <v>427</v>
      </c>
      <c r="E67" s="138">
        <v>2254</v>
      </c>
      <c r="F67" s="136" t="s">
        <v>143</v>
      </c>
      <c r="G67" s="136" t="s">
        <v>47</v>
      </c>
      <c r="H67" s="136" t="s">
        <v>276</v>
      </c>
      <c r="I67" s="139">
        <v>1100</v>
      </c>
      <c r="J67" s="139">
        <v>1100</v>
      </c>
      <c r="K67" s="139">
        <v>7700</v>
      </c>
      <c r="L67" s="139">
        <v>7700</v>
      </c>
      <c r="M67" s="139">
        <v>30800</v>
      </c>
      <c r="N67" s="139">
        <v>30800</v>
      </c>
      <c r="O67" s="139">
        <v>30800</v>
      </c>
      <c r="P67" s="139">
        <v>35200</v>
      </c>
      <c r="Q67" s="139">
        <v>35200</v>
      </c>
      <c r="R67" s="139">
        <v>35200</v>
      </c>
      <c r="S67" s="139">
        <v>4400</v>
      </c>
      <c r="T67" s="139">
        <v>0</v>
      </c>
      <c r="U67" s="139">
        <f t="shared" si="17"/>
        <v>220000</v>
      </c>
      <c r="V67" s="124">
        <f>'CAP15.1-Allocations'!$C$121</f>
        <v>0.65190000000000003</v>
      </c>
      <c r="W67" s="145">
        <v>0</v>
      </c>
      <c r="X67" s="131">
        <f t="shared" si="18"/>
        <v>143418</v>
      </c>
      <c r="Y67" s="131">
        <f t="shared" si="19"/>
        <v>0</v>
      </c>
      <c r="Z67" s="215">
        <f>IF(X67&gt;'Major critera'!$B$4,X67,0)</f>
        <v>0</v>
      </c>
      <c r="AA67" s="124">
        <f>IF(Y67&gt;'Major critera'!$C$4,Y67,0)</f>
        <v>0</v>
      </c>
    </row>
    <row r="68" spans="1:27" outlineLevel="2">
      <c r="A68" s="136" t="s">
        <v>230</v>
      </c>
      <c r="B68" s="136" t="s">
        <v>201</v>
      </c>
      <c r="C68" s="136" t="s">
        <v>40</v>
      </c>
      <c r="D68" s="137" t="s">
        <v>416</v>
      </c>
      <c r="E68" s="138">
        <v>2280</v>
      </c>
      <c r="F68" s="136" t="s">
        <v>143</v>
      </c>
      <c r="G68" s="136" t="s">
        <v>146</v>
      </c>
      <c r="H68" s="136" t="s">
        <v>276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50000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f t="shared" si="17"/>
        <v>50000</v>
      </c>
      <c r="V68" s="124">
        <f>'CAP15.1-Allocations'!$C$121</f>
        <v>0.65190000000000003</v>
      </c>
      <c r="W68" s="145">
        <v>0</v>
      </c>
      <c r="X68" s="131">
        <f t="shared" si="18"/>
        <v>32595</v>
      </c>
      <c r="Y68" s="131">
        <f t="shared" si="19"/>
        <v>0</v>
      </c>
      <c r="Z68" s="215">
        <f>IF(X68&gt;'Major critera'!$B$4,X68,0)</f>
        <v>0</v>
      </c>
      <c r="AA68" s="124">
        <f>IF(Y68&gt;'Major critera'!$C$4,Y68,0)</f>
        <v>0</v>
      </c>
    </row>
    <row r="69" spans="1:27" outlineLevel="2">
      <c r="A69" s="136" t="s">
        <v>230</v>
      </c>
      <c r="B69" s="136" t="s">
        <v>201</v>
      </c>
      <c r="C69" s="136" t="s">
        <v>40</v>
      </c>
      <c r="D69" s="137" t="s">
        <v>416</v>
      </c>
      <c r="E69" s="138">
        <v>2294</v>
      </c>
      <c r="F69" s="136" t="s">
        <v>143</v>
      </c>
      <c r="G69" s="136" t="s">
        <v>148</v>
      </c>
      <c r="H69" s="136" t="s">
        <v>276</v>
      </c>
      <c r="I69" s="139">
        <v>25000</v>
      </c>
      <c r="J69" s="139">
        <v>0</v>
      </c>
      <c r="K69" s="139">
        <v>12500</v>
      </c>
      <c r="L69" s="139">
        <v>25000</v>
      </c>
      <c r="M69" s="139">
        <v>0</v>
      </c>
      <c r="N69" s="139">
        <v>12500</v>
      </c>
      <c r="O69" s="139">
        <v>25000</v>
      </c>
      <c r="P69" s="139">
        <v>0</v>
      </c>
      <c r="Q69" s="139">
        <v>12500</v>
      </c>
      <c r="R69" s="139">
        <v>25000</v>
      </c>
      <c r="S69" s="139">
        <v>0</v>
      </c>
      <c r="T69" s="139">
        <v>12500</v>
      </c>
      <c r="U69" s="139">
        <f t="shared" si="17"/>
        <v>150000</v>
      </c>
      <c r="V69" s="124">
        <f>'CAP15.1-Allocations'!$C$121</f>
        <v>0.65190000000000003</v>
      </c>
      <c r="W69" s="145">
        <v>0</v>
      </c>
      <c r="X69" s="131">
        <f t="shared" si="18"/>
        <v>97785</v>
      </c>
      <c r="Y69" s="131">
        <f t="shared" si="19"/>
        <v>0</v>
      </c>
      <c r="Z69" s="215">
        <f>IF(X69&gt;'Major critera'!$B$4,X69,0)</f>
        <v>0</v>
      </c>
      <c r="AA69" s="124">
        <f>IF(Y69&gt;'Major critera'!$C$4,Y69,0)</f>
        <v>0</v>
      </c>
    </row>
    <row r="70" spans="1:27" outlineLevel="2">
      <c r="A70" s="136" t="s">
        <v>230</v>
      </c>
      <c r="B70" s="136" t="s">
        <v>201</v>
      </c>
      <c r="C70" s="136" t="s">
        <v>40</v>
      </c>
      <c r="D70" s="137" t="s">
        <v>49</v>
      </c>
      <c r="E70" s="138">
        <v>2301</v>
      </c>
      <c r="F70" s="136" t="s">
        <v>143</v>
      </c>
      <c r="G70" s="136" t="s">
        <v>49</v>
      </c>
      <c r="H70" s="136" t="s">
        <v>277</v>
      </c>
      <c r="I70" s="139">
        <v>119148</v>
      </c>
      <c r="J70" s="139">
        <v>119148</v>
      </c>
      <c r="K70" s="139">
        <v>119150</v>
      </c>
      <c r="L70" s="139">
        <v>119148</v>
      </c>
      <c r="M70" s="139">
        <v>119148</v>
      </c>
      <c r="N70" s="139">
        <v>119150</v>
      </c>
      <c r="O70" s="139">
        <v>119148</v>
      </c>
      <c r="P70" s="139">
        <v>119148</v>
      </c>
      <c r="Q70" s="139">
        <v>119150</v>
      </c>
      <c r="R70" s="139">
        <v>119148</v>
      </c>
      <c r="S70" s="139">
        <v>119148</v>
      </c>
      <c r="T70" s="139">
        <v>119150</v>
      </c>
      <c r="U70" s="139">
        <f t="shared" si="17"/>
        <v>1429784</v>
      </c>
      <c r="V70" s="124">
        <f>'CAP15.1-Allocations'!$C$121</f>
        <v>0.65190000000000003</v>
      </c>
      <c r="W70" s="145">
        <v>0</v>
      </c>
      <c r="X70" s="131">
        <f t="shared" si="18"/>
        <v>932076.18960000004</v>
      </c>
      <c r="Y70" s="131">
        <f t="shared" si="19"/>
        <v>0</v>
      </c>
      <c r="Z70" s="215">
        <f>IF(X70&gt;'Major critera'!$B$4,X70,0)</f>
        <v>0</v>
      </c>
      <c r="AA70" s="124">
        <f>IF(Y70&gt;'Major critera'!$C$4,Y70,0)</f>
        <v>0</v>
      </c>
    </row>
    <row r="71" spans="1:27" outlineLevel="2">
      <c r="A71" s="136" t="s">
        <v>230</v>
      </c>
      <c r="B71" s="136" t="s">
        <v>201</v>
      </c>
      <c r="C71" s="136" t="s">
        <v>40</v>
      </c>
      <c r="D71" s="137" t="s">
        <v>416</v>
      </c>
      <c r="E71" s="138">
        <v>2449</v>
      </c>
      <c r="F71" s="136" t="s">
        <v>143</v>
      </c>
      <c r="G71" s="136" t="s">
        <v>51</v>
      </c>
      <c r="H71" s="136" t="s">
        <v>276</v>
      </c>
      <c r="I71" s="139">
        <v>33333</v>
      </c>
      <c r="J71" s="139">
        <v>0</v>
      </c>
      <c r="K71" s="139">
        <v>33334</v>
      </c>
      <c r="L71" s="139">
        <v>0</v>
      </c>
      <c r="M71" s="139">
        <v>33333</v>
      </c>
      <c r="N71" s="139">
        <v>0</v>
      </c>
      <c r="O71" s="139">
        <v>33333</v>
      </c>
      <c r="P71" s="139">
        <v>0</v>
      </c>
      <c r="Q71" s="139">
        <v>33334</v>
      </c>
      <c r="R71" s="139">
        <v>0</v>
      </c>
      <c r="S71" s="139">
        <v>33333</v>
      </c>
      <c r="T71" s="139">
        <v>0</v>
      </c>
      <c r="U71" s="139">
        <f t="shared" si="17"/>
        <v>200000</v>
      </c>
      <c r="V71" s="124">
        <f>'CAP15.1-Allocations'!$C$121</f>
        <v>0.65190000000000003</v>
      </c>
      <c r="W71" s="145">
        <v>0</v>
      </c>
      <c r="X71" s="131">
        <f t="shared" si="18"/>
        <v>130380</v>
      </c>
      <c r="Y71" s="131">
        <f t="shared" si="19"/>
        <v>0</v>
      </c>
      <c r="Z71" s="215">
        <f>IF(X71&gt;'Major critera'!$B$4,X71,0)</f>
        <v>0</v>
      </c>
      <c r="AA71" s="124">
        <f>IF(Y71&gt;'Major critera'!$C$4,Y71,0)</f>
        <v>0</v>
      </c>
    </row>
    <row r="72" spans="1:27" outlineLevel="2">
      <c r="A72" s="136" t="s">
        <v>230</v>
      </c>
      <c r="B72" s="136" t="s">
        <v>201</v>
      </c>
      <c r="C72" s="136" t="s">
        <v>40</v>
      </c>
      <c r="D72" s="137" t="s">
        <v>430</v>
      </c>
      <c r="E72" s="138">
        <v>2474</v>
      </c>
      <c r="F72" s="136" t="s">
        <v>143</v>
      </c>
      <c r="G72" s="136" t="s">
        <v>355</v>
      </c>
      <c r="H72" s="136" t="s">
        <v>278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f t="shared" si="17"/>
        <v>0</v>
      </c>
      <c r="V72" s="124">
        <f>'CAP15.1-Allocations'!$C$121</f>
        <v>0.65190000000000003</v>
      </c>
      <c r="W72" s="145">
        <v>0</v>
      </c>
      <c r="X72" s="131">
        <f t="shared" si="18"/>
        <v>0</v>
      </c>
      <c r="Y72" s="131">
        <f t="shared" si="19"/>
        <v>0</v>
      </c>
      <c r="Z72" s="215">
        <f>IF(X72&gt;'Major critera'!$B$4,X72,0)</f>
        <v>0</v>
      </c>
      <c r="AA72" s="124">
        <f>IF(Y72&gt;'Major critera'!$C$4,Y72,0)</f>
        <v>0</v>
      </c>
    </row>
    <row r="73" spans="1:27" outlineLevel="2">
      <c r="A73" s="136" t="s">
        <v>230</v>
      </c>
      <c r="B73" s="136" t="s">
        <v>201</v>
      </c>
      <c r="C73" s="136" t="s">
        <v>40</v>
      </c>
      <c r="D73" s="137" t="s">
        <v>416</v>
      </c>
      <c r="E73" s="138">
        <v>2481</v>
      </c>
      <c r="F73" s="136" t="s">
        <v>143</v>
      </c>
      <c r="G73" s="136" t="s">
        <v>0</v>
      </c>
      <c r="H73" s="136" t="s">
        <v>276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f t="shared" si="17"/>
        <v>0</v>
      </c>
      <c r="V73" s="124">
        <f>'CAP15.1-Allocations'!$C$121</f>
        <v>0.65190000000000003</v>
      </c>
      <c r="W73" s="145">
        <v>0</v>
      </c>
      <c r="X73" s="131">
        <f t="shared" si="18"/>
        <v>0</v>
      </c>
      <c r="Y73" s="131">
        <f t="shared" si="19"/>
        <v>0</v>
      </c>
      <c r="Z73" s="215">
        <f>IF(X73&gt;'Major critera'!$B$4,X73,0)</f>
        <v>0</v>
      </c>
      <c r="AA73" s="124">
        <f>IF(Y73&gt;'Major critera'!$C$4,Y73,0)</f>
        <v>0</v>
      </c>
    </row>
    <row r="74" spans="1:27" outlineLevel="2">
      <c r="A74" s="136" t="s">
        <v>230</v>
      </c>
      <c r="B74" s="136" t="s">
        <v>201</v>
      </c>
      <c r="C74" s="136" t="s">
        <v>40</v>
      </c>
      <c r="D74" s="137" t="s">
        <v>416</v>
      </c>
      <c r="E74" s="138">
        <v>2492</v>
      </c>
      <c r="F74" s="136" t="s">
        <v>143</v>
      </c>
      <c r="G74" s="136" t="s">
        <v>1</v>
      </c>
      <c r="H74" s="136" t="s">
        <v>276</v>
      </c>
      <c r="I74" s="139">
        <v>0</v>
      </c>
      <c r="J74" s="139">
        <v>0</v>
      </c>
      <c r="K74" s="139">
        <v>50000</v>
      </c>
      <c r="L74" s="139">
        <v>0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f t="shared" si="17"/>
        <v>50000</v>
      </c>
      <c r="V74" s="124">
        <f>'CAP15.1-Allocations'!$C$121</f>
        <v>0.65190000000000003</v>
      </c>
      <c r="W74" s="145">
        <v>0</v>
      </c>
      <c r="X74" s="131">
        <f t="shared" si="18"/>
        <v>32595</v>
      </c>
      <c r="Y74" s="131">
        <f t="shared" si="19"/>
        <v>0</v>
      </c>
      <c r="Z74" s="215">
        <f>IF(X74&gt;'Major critera'!$B$4,X74,0)</f>
        <v>0</v>
      </c>
      <c r="AA74" s="124">
        <f>IF(Y74&gt;'Major critera'!$C$4,Y74,0)</f>
        <v>0</v>
      </c>
    </row>
    <row r="75" spans="1:27" outlineLevel="2">
      <c r="A75" s="136" t="s">
        <v>230</v>
      </c>
      <c r="B75" s="136" t="s">
        <v>201</v>
      </c>
      <c r="C75" s="136" t="s">
        <v>40</v>
      </c>
      <c r="D75" s="137" t="s">
        <v>431</v>
      </c>
      <c r="E75" s="138">
        <v>2531</v>
      </c>
      <c r="F75" s="136" t="s">
        <v>143</v>
      </c>
      <c r="G75" s="136" t="s">
        <v>357</v>
      </c>
      <c r="H75" s="136" t="s">
        <v>278</v>
      </c>
      <c r="I75" s="139">
        <v>0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f t="shared" si="17"/>
        <v>0</v>
      </c>
      <c r="V75" s="124">
        <f>'CAP15.1-Allocations'!$C$121</f>
        <v>0.65190000000000003</v>
      </c>
      <c r="W75" s="145">
        <v>0</v>
      </c>
      <c r="X75" s="131">
        <f t="shared" si="18"/>
        <v>0</v>
      </c>
      <c r="Y75" s="131">
        <f t="shared" si="19"/>
        <v>0</v>
      </c>
      <c r="Z75" s="215">
        <f>IF(X75&gt;'Major critera'!$B$4,X75,0)</f>
        <v>0</v>
      </c>
      <c r="AA75" s="124">
        <f>IF(Y75&gt;'Major critera'!$C$4,Y75,0)</f>
        <v>0</v>
      </c>
    </row>
    <row r="76" spans="1:27" outlineLevel="2">
      <c r="A76" s="136" t="s">
        <v>230</v>
      </c>
      <c r="B76" s="136" t="s">
        <v>201</v>
      </c>
      <c r="C76" s="136" t="s">
        <v>40</v>
      </c>
      <c r="D76" s="137" t="s">
        <v>432</v>
      </c>
      <c r="E76" s="138">
        <v>2532</v>
      </c>
      <c r="F76" s="136" t="s">
        <v>143</v>
      </c>
      <c r="G76" s="136" t="s">
        <v>358</v>
      </c>
      <c r="H76" s="136" t="s">
        <v>278</v>
      </c>
      <c r="I76" s="139">
        <v>0</v>
      </c>
      <c r="J76" s="139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0</v>
      </c>
      <c r="P76" s="139">
        <v>0</v>
      </c>
      <c r="Q76" s="139">
        <v>7800000</v>
      </c>
      <c r="R76" s="139">
        <v>0</v>
      </c>
      <c r="S76" s="139">
        <v>0</v>
      </c>
      <c r="T76" s="139">
        <v>525000</v>
      </c>
      <c r="U76" s="139">
        <f t="shared" si="17"/>
        <v>8325000</v>
      </c>
      <c r="V76" s="124">
        <f>'CAP15.1-Allocations'!$C$121</f>
        <v>0.65190000000000003</v>
      </c>
      <c r="W76" s="145">
        <v>0</v>
      </c>
      <c r="X76" s="131">
        <f t="shared" si="18"/>
        <v>5427067.5</v>
      </c>
      <c r="Y76" s="131">
        <f t="shared" si="19"/>
        <v>0</v>
      </c>
      <c r="Z76" s="215">
        <f>IF(X76&gt;'Major critera'!$B$4,X76,0)</f>
        <v>0</v>
      </c>
      <c r="AA76" s="124">
        <f>IF(Y76&gt;'Major critera'!$C$4,Y76,0)</f>
        <v>0</v>
      </c>
    </row>
    <row r="77" spans="1:27" outlineLevel="2">
      <c r="A77" s="136" t="s">
        <v>230</v>
      </c>
      <c r="B77" s="136" t="s">
        <v>201</v>
      </c>
      <c r="C77" s="136" t="s">
        <v>40</v>
      </c>
      <c r="D77" s="137" t="s">
        <v>418</v>
      </c>
      <c r="E77" s="138">
        <v>2550</v>
      </c>
      <c r="F77" s="136" t="s">
        <v>143</v>
      </c>
      <c r="G77" s="136" t="s">
        <v>218</v>
      </c>
      <c r="H77" s="136" t="s">
        <v>276</v>
      </c>
      <c r="I77" s="139">
        <v>0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f t="shared" si="17"/>
        <v>0</v>
      </c>
      <c r="V77" s="124">
        <f>'CAP15.1-Allocations'!$C$121</f>
        <v>0.65190000000000003</v>
      </c>
      <c r="W77" s="145">
        <v>0</v>
      </c>
      <c r="X77" s="131">
        <f t="shared" si="18"/>
        <v>0</v>
      </c>
      <c r="Y77" s="131">
        <f t="shared" si="19"/>
        <v>0</v>
      </c>
      <c r="Z77" s="215">
        <f>IF(X77&gt;'Major critera'!$B$4,X77,0)</f>
        <v>0</v>
      </c>
      <c r="AA77" s="124">
        <f>IF(Y77&gt;'Major critera'!$C$4,Y77,0)</f>
        <v>0</v>
      </c>
    </row>
    <row r="78" spans="1:27" outlineLevel="2">
      <c r="A78" s="136" t="s">
        <v>230</v>
      </c>
      <c r="B78" s="136" t="s">
        <v>201</v>
      </c>
      <c r="C78" s="136" t="s">
        <v>40</v>
      </c>
      <c r="D78" s="137" t="s">
        <v>418</v>
      </c>
      <c r="E78" s="138">
        <v>2556</v>
      </c>
      <c r="F78" s="136" t="s">
        <v>143</v>
      </c>
      <c r="G78" s="136" t="s">
        <v>359</v>
      </c>
      <c r="H78" s="136" t="s">
        <v>278</v>
      </c>
      <c r="I78" s="139">
        <v>0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f t="shared" si="17"/>
        <v>0</v>
      </c>
      <c r="V78" s="124">
        <f>'CAP15.1-Allocations'!$C$121</f>
        <v>0.65190000000000003</v>
      </c>
      <c r="W78" s="145">
        <v>0</v>
      </c>
      <c r="X78" s="131">
        <f t="shared" si="18"/>
        <v>0</v>
      </c>
      <c r="Y78" s="131">
        <f t="shared" si="19"/>
        <v>0</v>
      </c>
      <c r="Z78" s="215">
        <f>IF(X78&gt;'Major critera'!$B$4,X78,0)</f>
        <v>0</v>
      </c>
      <c r="AA78" s="124">
        <f>IF(Y78&gt;'Major critera'!$C$4,Y78,0)</f>
        <v>0</v>
      </c>
    </row>
    <row r="79" spans="1:27" outlineLevel="2">
      <c r="A79" s="136" t="s">
        <v>230</v>
      </c>
      <c r="B79" s="136" t="s">
        <v>201</v>
      </c>
      <c r="C79" s="136" t="s">
        <v>40</v>
      </c>
      <c r="D79" s="137" t="s">
        <v>418</v>
      </c>
      <c r="E79" s="138">
        <v>2557</v>
      </c>
      <c r="F79" s="136" t="s">
        <v>143</v>
      </c>
      <c r="G79" s="136" t="s">
        <v>360</v>
      </c>
      <c r="H79" s="136" t="s">
        <v>276</v>
      </c>
      <c r="I79" s="139">
        <v>0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f t="shared" si="17"/>
        <v>0</v>
      </c>
      <c r="V79" s="124">
        <f>'CAP15.1-Allocations'!$C$121</f>
        <v>0.65190000000000003</v>
      </c>
      <c r="W79" s="145">
        <v>0</v>
      </c>
      <c r="X79" s="131">
        <f t="shared" si="18"/>
        <v>0</v>
      </c>
      <c r="Y79" s="131">
        <f t="shared" si="19"/>
        <v>0</v>
      </c>
      <c r="Z79" s="215">
        <f>IF(X79&gt;'Major critera'!$B$4,X79,0)</f>
        <v>0</v>
      </c>
      <c r="AA79" s="124">
        <f>IF(Y79&gt;'Major critera'!$C$4,Y79,0)</f>
        <v>0</v>
      </c>
    </row>
    <row r="80" spans="1:27" outlineLevel="2">
      <c r="A80" s="136" t="s">
        <v>230</v>
      </c>
      <c r="B80" s="136" t="s">
        <v>201</v>
      </c>
      <c r="C80" s="136" t="s">
        <v>40</v>
      </c>
      <c r="D80" s="137" t="s">
        <v>418</v>
      </c>
      <c r="E80" s="138">
        <v>2564</v>
      </c>
      <c r="F80" s="136" t="s">
        <v>143</v>
      </c>
      <c r="G80" s="136" t="s">
        <v>245</v>
      </c>
      <c r="H80" s="136" t="s">
        <v>278</v>
      </c>
      <c r="I80" s="139">
        <v>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3947144</v>
      </c>
      <c r="U80" s="139">
        <f t="shared" si="17"/>
        <v>3947144</v>
      </c>
      <c r="V80" s="124">
        <f>'CAP15.1-Allocations'!$C$121</f>
        <v>0.65190000000000003</v>
      </c>
      <c r="W80" s="145">
        <v>0</v>
      </c>
      <c r="X80" s="131">
        <f t="shared" si="18"/>
        <v>2573143.1736000003</v>
      </c>
      <c r="Y80" s="131">
        <f t="shared" si="19"/>
        <v>0</v>
      </c>
      <c r="Z80" s="215">
        <f>IF(X80&gt;'Major critera'!$B$4,X80,0)</f>
        <v>0</v>
      </c>
      <c r="AA80" s="124">
        <f>IF(Y80&gt;'Major critera'!$C$4,Y80,0)</f>
        <v>0</v>
      </c>
    </row>
    <row r="81" spans="1:27" outlineLevel="2">
      <c r="A81" s="136" t="s">
        <v>230</v>
      </c>
      <c r="B81" s="136" t="s">
        <v>201</v>
      </c>
      <c r="C81" s="136" t="s">
        <v>40</v>
      </c>
      <c r="D81" s="137" t="s">
        <v>433</v>
      </c>
      <c r="E81" s="138">
        <v>2571</v>
      </c>
      <c r="F81" s="136" t="s">
        <v>143</v>
      </c>
      <c r="G81" s="136" t="s">
        <v>283</v>
      </c>
      <c r="H81" s="136" t="s">
        <v>278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500000</v>
      </c>
      <c r="S81" s="139">
        <v>0</v>
      </c>
      <c r="T81" s="139">
        <v>0</v>
      </c>
      <c r="U81" s="139">
        <f t="shared" si="17"/>
        <v>500000</v>
      </c>
      <c r="V81" s="124">
        <f>'CAP15.1-Allocations'!$C$121</f>
        <v>0.65190000000000003</v>
      </c>
      <c r="W81" s="145">
        <v>0</v>
      </c>
      <c r="X81" s="131">
        <f t="shared" si="18"/>
        <v>325950</v>
      </c>
      <c r="Y81" s="131">
        <f t="shared" si="19"/>
        <v>0</v>
      </c>
      <c r="Z81" s="215">
        <f>IF(X81&gt;'Major critera'!$B$4,X81,0)</f>
        <v>0</v>
      </c>
      <c r="AA81" s="124">
        <f>IF(Y81&gt;'Major critera'!$C$4,Y81,0)</f>
        <v>0</v>
      </c>
    </row>
    <row r="82" spans="1:27" outlineLevel="2">
      <c r="A82" s="136" t="s">
        <v>230</v>
      </c>
      <c r="B82" s="136" t="s">
        <v>201</v>
      </c>
      <c r="C82" s="136" t="s">
        <v>40</v>
      </c>
      <c r="D82" s="137" t="s">
        <v>415</v>
      </c>
      <c r="E82" s="138">
        <v>2573</v>
      </c>
      <c r="F82" s="136" t="s">
        <v>143</v>
      </c>
      <c r="G82" s="136" t="s">
        <v>284</v>
      </c>
      <c r="H82" s="136" t="s">
        <v>276</v>
      </c>
      <c r="I82" s="139">
        <v>0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f t="shared" si="17"/>
        <v>0</v>
      </c>
      <c r="V82" s="124">
        <f>'CAP15.1-Allocations'!$C$121</f>
        <v>0.65190000000000003</v>
      </c>
      <c r="W82" s="145">
        <v>0</v>
      </c>
      <c r="X82" s="131">
        <f t="shared" si="18"/>
        <v>0</v>
      </c>
      <c r="Y82" s="131">
        <f t="shared" si="19"/>
        <v>0</v>
      </c>
      <c r="Z82" s="215">
        <f>IF(X82&gt;'Major critera'!$B$4,X82,0)</f>
        <v>0</v>
      </c>
      <c r="AA82" s="124">
        <f>IF(Y82&gt;'Major critera'!$C$4,Y82,0)</f>
        <v>0</v>
      </c>
    </row>
    <row r="83" spans="1:27" outlineLevel="2">
      <c r="A83" s="136" t="s">
        <v>230</v>
      </c>
      <c r="B83" s="136" t="s">
        <v>201</v>
      </c>
      <c r="C83" s="136" t="s">
        <v>40</v>
      </c>
      <c r="D83" s="137" t="s">
        <v>418</v>
      </c>
      <c r="E83" s="138">
        <v>2577</v>
      </c>
      <c r="F83" s="136" t="s">
        <v>143</v>
      </c>
      <c r="G83" s="136" t="s">
        <v>364</v>
      </c>
      <c r="H83" s="136" t="s">
        <v>276</v>
      </c>
      <c r="I83" s="139">
        <v>0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7815802</v>
      </c>
      <c r="U83" s="139">
        <f t="shared" si="17"/>
        <v>7815802</v>
      </c>
      <c r="V83" s="124">
        <f>'CAP15.1-Allocations'!$C$121</f>
        <v>0.65190000000000003</v>
      </c>
      <c r="W83" s="145">
        <v>0</v>
      </c>
      <c r="X83" s="131">
        <f t="shared" si="18"/>
        <v>5095121.3238000004</v>
      </c>
      <c r="Y83" s="131">
        <f t="shared" si="19"/>
        <v>0</v>
      </c>
      <c r="Z83" s="215">
        <f>IF(X83&gt;'Major critera'!$B$4,X83,0)</f>
        <v>0</v>
      </c>
      <c r="AA83" s="124">
        <f>IF(Y83&gt;'Major critera'!$C$4,Y83,0)</f>
        <v>0</v>
      </c>
    </row>
    <row r="84" spans="1:27" outlineLevel="2">
      <c r="A84" s="136" t="s">
        <v>230</v>
      </c>
      <c r="B84" s="136" t="s">
        <v>201</v>
      </c>
      <c r="C84" s="136" t="s">
        <v>40</v>
      </c>
      <c r="D84" s="137" t="s">
        <v>434</v>
      </c>
      <c r="E84" s="138">
        <v>2579</v>
      </c>
      <c r="F84" s="136" t="s">
        <v>143</v>
      </c>
      <c r="G84" s="136" t="s">
        <v>285</v>
      </c>
      <c r="H84" s="136" t="s">
        <v>276</v>
      </c>
      <c r="I84" s="139">
        <v>0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500000</v>
      </c>
      <c r="U84" s="139">
        <f t="shared" si="17"/>
        <v>500000</v>
      </c>
      <c r="V84" s="124">
        <f>'CAP15.1-Allocations'!$C$121</f>
        <v>0.65190000000000003</v>
      </c>
      <c r="W84" s="145">
        <v>0</v>
      </c>
      <c r="X84" s="131">
        <f t="shared" si="18"/>
        <v>325950</v>
      </c>
      <c r="Y84" s="131">
        <f t="shared" si="19"/>
        <v>0</v>
      </c>
      <c r="Z84" s="215">
        <f>IF(X84&gt;'Major critera'!$B$4,X84,0)</f>
        <v>0</v>
      </c>
      <c r="AA84" s="124">
        <f>IF(Y84&gt;'Major critera'!$C$4,Y84,0)</f>
        <v>0</v>
      </c>
    </row>
    <row r="85" spans="1:27" outlineLevel="2">
      <c r="A85" s="136" t="s">
        <v>230</v>
      </c>
      <c r="B85" s="136" t="s">
        <v>201</v>
      </c>
      <c r="C85" s="136" t="s">
        <v>40</v>
      </c>
      <c r="D85" s="137" t="s">
        <v>435</v>
      </c>
      <c r="E85" s="138">
        <v>2581</v>
      </c>
      <c r="F85" s="136" t="s">
        <v>143</v>
      </c>
      <c r="G85" s="136" t="s">
        <v>286</v>
      </c>
      <c r="H85" s="136" t="s">
        <v>276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3294000</v>
      </c>
      <c r="U85" s="139">
        <f t="shared" si="17"/>
        <v>3294000</v>
      </c>
      <c r="V85" s="124">
        <f>'CAP15.1-Allocations'!$C$121</f>
        <v>0.65190000000000003</v>
      </c>
      <c r="W85" s="145">
        <v>0</v>
      </c>
      <c r="X85" s="131">
        <f t="shared" si="18"/>
        <v>2147358.6</v>
      </c>
      <c r="Y85" s="131">
        <f t="shared" si="19"/>
        <v>0</v>
      </c>
      <c r="Z85" s="215">
        <f>IF(X85&gt;'Major critera'!$B$4,X85,0)</f>
        <v>0</v>
      </c>
      <c r="AA85" s="124">
        <f>IF(Y85&gt;'Major critera'!$C$4,Y85,0)</f>
        <v>0</v>
      </c>
    </row>
    <row r="86" spans="1:27" outlineLevel="2">
      <c r="A86" s="136" t="s">
        <v>230</v>
      </c>
      <c r="B86" s="136" t="s">
        <v>201</v>
      </c>
      <c r="C86" s="136" t="s">
        <v>40</v>
      </c>
      <c r="D86" s="137" t="s">
        <v>422</v>
      </c>
      <c r="E86" s="138">
        <v>6101</v>
      </c>
      <c r="F86" s="136" t="s">
        <v>135</v>
      </c>
      <c r="G86" s="136" t="s">
        <v>66</v>
      </c>
      <c r="H86" s="136" t="s">
        <v>277</v>
      </c>
      <c r="I86" s="139">
        <v>0</v>
      </c>
      <c r="J86" s="139">
        <v>0</v>
      </c>
      <c r="K86" s="139">
        <v>25000</v>
      </c>
      <c r="L86" s="139">
        <v>0</v>
      </c>
      <c r="M86" s="139">
        <v>0</v>
      </c>
      <c r="N86" s="139">
        <v>25000</v>
      </c>
      <c r="O86" s="139">
        <v>0</v>
      </c>
      <c r="P86" s="139">
        <v>0</v>
      </c>
      <c r="Q86" s="139">
        <v>25000</v>
      </c>
      <c r="R86" s="139">
        <v>0</v>
      </c>
      <c r="S86" s="139">
        <v>0</v>
      </c>
      <c r="T86" s="139">
        <v>25000</v>
      </c>
      <c r="U86" s="139">
        <f t="shared" si="17"/>
        <v>100000</v>
      </c>
      <c r="V86" s="124">
        <f>'CAP15.1-Allocations'!$C$121</f>
        <v>0.65190000000000003</v>
      </c>
      <c r="W86" s="145">
        <v>0</v>
      </c>
      <c r="X86" s="131">
        <f t="shared" si="18"/>
        <v>65190</v>
      </c>
      <c r="Y86" s="131">
        <f t="shared" si="19"/>
        <v>0</v>
      </c>
      <c r="Z86" s="215">
        <f>IF(X86&gt;'Major critera'!$B$4,X86,0)</f>
        <v>0</v>
      </c>
      <c r="AA86" s="124">
        <f>IF(Y86&gt;'Major critera'!$C$4,Y86,0)</f>
        <v>0</v>
      </c>
    </row>
    <row r="87" spans="1:27" outlineLevel="1">
      <c r="A87" s="136"/>
      <c r="B87" s="136"/>
      <c r="C87" s="155" t="s">
        <v>294</v>
      </c>
      <c r="D87" s="137"/>
      <c r="E87" s="138"/>
      <c r="F87" s="136"/>
      <c r="G87" s="136"/>
      <c r="H87" s="136"/>
      <c r="I87" s="186">
        <f t="shared" ref="I87:U87" si="20">SUBTOTAL(9,I59:I86)</f>
        <v>414802</v>
      </c>
      <c r="J87" s="186">
        <f t="shared" si="20"/>
        <v>323347</v>
      </c>
      <c r="K87" s="186">
        <f t="shared" si="20"/>
        <v>689613</v>
      </c>
      <c r="L87" s="186">
        <f t="shared" si="20"/>
        <v>453016</v>
      </c>
      <c r="M87" s="186">
        <f t="shared" si="20"/>
        <v>1616037</v>
      </c>
      <c r="N87" s="186">
        <f t="shared" si="20"/>
        <v>581734</v>
      </c>
      <c r="O87" s="186">
        <f t="shared" si="20"/>
        <v>497848</v>
      </c>
      <c r="P87" s="186">
        <f t="shared" si="20"/>
        <v>536516</v>
      </c>
      <c r="Q87" s="186">
        <f t="shared" si="20"/>
        <v>12336402</v>
      </c>
      <c r="R87" s="186">
        <f t="shared" si="20"/>
        <v>1131916</v>
      </c>
      <c r="S87" s="186">
        <f t="shared" si="20"/>
        <v>632078</v>
      </c>
      <c r="T87" s="186">
        <f t="shared" si="20"/>
        <v>16524312</v>
      </c>
      <c r="U87" s="186">
        <f t="shared" si="20"/>
        <v>35737621</v>
      </c>
    </row>
    <row r="88" spans="1:27" outlineLevel="2">
      <c r="A88" s="136" t="s">
        <v>230</v>
      </c>
      <c r="B88" s="136" t="s">
        <v>201</v>
      </c>
      <c r="C88" s="136" t="s">
        <v>46</v>
      </c>
      <c r="D88" s="137" t="s">
        <v>425</v>
      </c>
      <c r="E88" s="138">
        <v>2274</v>
      </c>
      <c r="F88" s="136" t="s">
        <v>143</v>
      </c>
      <c r="G88" s="136" t="s">
        <v>350</v>
      </c>
      <c r="H88" s="136" t="s">
        <v>276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0</v>
      </c>
      <c r="U88" s="139">
        <f>SUM(I88:T88)</f>
        <v>0</v>
      </c>
      <c r="V88" s="124">
        <v>0</v>
      </c>
      <c r="W88" s="145">
        <v>0</v>
      </c>
      <c r="X88" s="131">
        <f>U88*V88</f>
        <v>0</v>
      </c>
      <c r="Y88" s="131">
        <f>W88*U88</f>
        <v>0</v>
      </c>
      <c r="Z88" s="215">
        <f>IF(X88&gt;'Major critera'!$B$4,X88,0)</f>
        <v>0</v>
      </c>
      <c r="AA88" s="124">
        <f>IF(Y88&gt;'Major critera'!$C$4,Y88,0)</f>
        <v>0</v>
      </c>
    </row>
    <row r="89" spans="1:27" outlineLevel="2">
      <c r="A89" s="136" t="s">
        <v>230</v>
      </c>
      <c r="B89" s="136" t="s">
        <v>201</v>
      </c>
      <c r="C89" s="136" t="s">
        <v>46</v>
      </c>
      <c r="D89" s="137" t="s">
        <v>436</v>
      </c>
      <c r="E89" s="138">
        <v>2580</v>
      </c>
      <c r="F89" s="136" t="s">
        <v>143</v>
      </c>
      <c r="G89" s="136" t="s">
        <v>365</v>
      </c>
      <c r="H89" s="136" t="s">
        <v>278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f>SUM(I89:T89)</f>
        <v>0</v>
      </c>
      <c r="V89" s="124">
        <v>0</v>
      </c>
      <c r="W89" s="145">
        <v>0</v>
      </c>
      <c r="X89" s="131">
        <f>U89*V89</f>
        <v>0</v>
      </c>
      <c r="Y89" s="131">
        <f>W89*U89</f>
        <v>0</v>
      </c>
      <c r="Z89" s="215">
        <f>IF(X89&gt;'Major critera'!$B$4,X89,0)</f>
        <v>0</v>
      </c>
      <c r="AA89" s="124">
        <f>IF(Y89&gt;'Major critera'!$C$4,Y89,0)</f>
        <v>0</v>
      </c>
    </row>
    <row r="90" spans="1:27" outlineLevel="1">
      <c r="A90" s="136"/>
      <c r="B90" s="136"/>
      <c r="C90" s="154" t="s">
        <v>295</v>
      </c>
      <c r="D90" s="137"/>
      <c r="E90" s="138"/>
      <c r="F90" s="136"/>
      <c r="G90" s="136"/>
      <c r="H90" s="136"/>
      <c r="I90" s="186">
        <f t="shared" ref="I90:U90" si="21">SUBTOTAL(9,I88:I89)</f>
        <v>0</v>
      </c>
      <c r="J90" s="186">
        <f t="shared" si="21"/>
        <v>0</v>
      </c>
      <c r="K90" s="186">
        <f t="shared" si="21"/>
        <v>0</v>
      </c>
      <c r="L90" s="186">
        <f t="shared" si="21"/>
        <v>0</v>
      </c>
      <c r="M90" s="186">
        <f t="shared" si="21"/>
        <v>0</v>
      </c>
      <c r="N90" s="186">
        <f t="shared" si="21"/>
        <v>0</v>
      </c>
      <c r="O90" s="186">
        <f t="shared" si="21"/>
        <v>0</v>
      </c>
      <c r="P90" s="186">
        <f t="shared" si="21"/>
        <v>0</v>
      </c>
      <c r="Q90" s="186">
        <f t="shared" si="21"/>
        <v>0</v>
      </c>
      <c r="R90" s="186">
        <f t="shared" si="21"/>
        <v>0</v>
      </c>
      <c r="S90" s="186">
        <f t="shared" si="21"/>
        <v>0</v>
      </c>
      <c r="T90" s="186">
        <f t="shared" si="21"/>
        <v>0</v>
      </c>
      <c r="U90" s="186">
        <f t="shared" si="21"/>
        <v>0</v>
      </c>
    </row>
    <row r="91" spans="1:27" outlineLevel="2">
      <c r="A91" s="136" t="s">
        <v>230</v>
      </c>
      <c r="B91" s="136" t="s">
        <v>201</v>
      </c>
      <c r="C91" s="136" t="s">
        <v>39</v>
      </c>
      <c r="D91" s="137" t="s">
        <v>418</v>
      </c>
      <c r="E91" s="138">
        <v>2310</v>
      </c>
      <c r="F91" s="136" t="s">
        <v>143</v>
      </c>
      <c r="G91" s="136" t="s">
        <v>351</v>
      </c>
      <c r="H91" s="136" t="s">
        <v>276</v>
      </c>
      <c r="I91" s="139">
        <v>0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f>SUM(I91:T91)</f>
        <v>0</v>
      </c>
      <c r="V91" s="207">
        <v>1</v>
      </c>
      <c r="W91" s="145">
        <v>0</v>
      </c>
      <c r="X91" s="131">
        <f>U91*V91</f>
        <v>0</v>
      </c>
      <c r="Y91" s="131">
        <f>W91*U91</f>
        <v>0</v>
      </c>
      <c r="Z91" s="215">
        <f>IF(X91&gt;'Major critera'!$B$4,X91,0)</f>
        <v>0</v>
      </c>
      <c r="AA91" s="124">
        <f>IF(Y91&gt;'Major critera'!$C$4,Y91,0)</f>
        <v>0</v>
      </c>
    </row>
    <row r="92" spans="1:27" outlineLevel="2">
      <c r="A92" s="136" t="s">
        <v>230</v>
      </c>
      <c r="B92" s="136" t="s">
        <v>201</v>
      </c>
      <c r="C92" s="136" t="s">
        <v>39</v>
      </c>
      <c r="D92" s="137" t="s">
        <v>415</v>
      </c>
      <c r="E92" s="138">
        <v>2341</v>
      </c>
      <c r="F92" s="136" t="s">
        <v>143</v>
      </c>
      <c r="G92" s="136" t="s">
        <v>353</v>
      </c>
      <c r="H92" s="136" t="s">
        <v>276</v>
      </c>
      <c r="I92" s="139">
        <v>0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274999</v>
      </c>
      <c r="U92" s="139">
        <f>SUM(I92:T92)</f>
        <v>274999</v>
      </c>
      <c r="V92" s="207">
        <v>1</v>
      </c>
      <c r="W92" s="145">
        <v>0</v>
      </c>
      <c r="X92" s="131">
        <f t="shared" ref="X92:X95" si="22">U92*V92</f>
        <v>274999</v>
      </c>
      <c r="Y92" s="131">
        <f t="shared" ref="Y92:Y95" si="23">W92*U92</f>
        <v>0</v>
      </c>
      <c r="Z92" s="215">
        <f>IF(X92&gt;'Major critera'!$B$4,X92,0)</f>
        <v>0</v>
      </c>
      <c r="AA92" s="124">
        <f>IF(Y92&gt;'Major critera'!$C$4,Y92,0)</f>
        <v>0</v>
      </c>
    </row>
    <row r="93" spans="1:27" outlineLevel="2">
      <c r="A93" s="136" t="s">
        <v>230</v>
      </c>
      <c r="B93" s="136" t="s">
        <v>201</v>
      </c>
      <c r="C93" s="136" t="s">
        <v>39</v>
      </c>
      <c r="D93" s="137" t="s">
        <v>430</v>
      </c>
      <c r="E93" s="138">
        <v>2446</v>
      </c>
      <c r="F93" s="136" t="s">
        <v>143</v>
      </c>
      <c r="G93" s="136" t="s">
        <v>150</v>
      </c>
      <c r="H93" s="136" t="s">
        <v>278</v>
      </c>
      <c r="I93" s="139">
        <v>0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500000</v>
      </c>
      <c r="U93" s="139">
        <f>SUM(I93:T93)</f>
        <v>500000</v>
      </c>
      <c r="V93" s="207">
        <v>1</v>
      </c>
      <c r="W93" s="145">
        <v>0</v>
      </c>
      <c r="X93" s="131">
        <f t="shared" si="22"/>
        <v>500000</v>
      </c>
      <c r="Y93" s="131">
        <f t="shared" si="23"/>
        <v>0</v>
      </c>
      <c r="Z93" s="215">
        <f>IF(X93&gt;'Major critera'!$B$4,X93,0)</f>
        <v>0</v>
      </c>
      <c r="AA93" s="124">
        <f>IF(Y93&gt;'Major critera'!$C$4,Y93,0)</f>
        <v>0</v>
      </c>
    </row>
    <row r="94" spans="1:27" outlineLevel="2">
      <c r="A94" s="136" t="s">
        <v>230</v>
      </c>
      <c r="B94" s="136" t="s">
        <v>201</v>
      </c>
      <c r="C94" s="136" t="s">
        <v>39</v>
      </c>
      <c r="D94" s="137" t="s">
        <v>418</v>
      </c>
      <c r="E94" s="138">
        <v>2457</v>
      </c>
      <c r="F94" s="136" t="s">
        <v>143</v>
      </c>
      <c r="G94" s="136" t="s">
        <v>280</v>
      </c>
      <c r="H94" s="136" t="s">
        <v>278</v>
      </c>
      <c r="I94" s="139">
        <v>0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f>SUM(I94:T94)</f>
        <v>0</v>
      </c>
      <c r="V94" s="207">
        <v>1</v>
      </c>
      <c r="W94" s="145">
        <v>0</v>
      </c>
      <c r="X94" s="131">
        <f t="shared" si="22"/>
        <v>0</v>
      </c>
      <c r="Y94" s="131">
        <f t="shared" si="23"/>
        <v>0</v>
      </c>
      <c r="Z94" s="215">
        <f>IF(X94&gt;'Major critera'!$B$4,X94,0)</f>
        <v>0</v>
      </c>
      <c r="AA94" s="124">
        <f>IF(Y94&gt;'Major critera'!$C$4,Y94,0)</f>
        <v>0</v>
      </c>
    </row>
    <row r="95" spans="1:27" outlineLevel="2">
      <c r="A95" s="136" t="s">
        <v>230</v>
      </c>
      <c r="B95" s="136" t="s">
        <v>201</v>
      </c>
      <c r="C95" s="136" t="s">
        <v>39</v>
      </c>
      <c r="D95" s="137" t="s">
        <v>430</v>
      </c>
      <c r="E95" s="138">
        <v>2552</v>
      </c>
      <c r="F95" s="136" t="s">
        <v>143</v>
      </c>
      <c r="G95" s="136" t="s">
        <v>219</v>
      </c>
      <c r="H95" s="136" t="s">
        <v>278</v>
      </c>
      <c r="I95" s="139">
        <v>0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2300000</v>
      </c>
      <c r="T95" s="139">
        <v>99999</v>
      </c>
      <c r="U95" s="139">
        <f>SUM(I95:T95)</f>
        <v>2399999</v>
      </c>
      <c r="V95" s="207">
        <v>1</v>
      </c>
      <c r="W95" s="145">
        <v>0</v>
      </c>
      <c r="X95" s="131">
        <f t="shared" si="22"/>
        <v>2399999</v>
      </c>
      <c r="Y95" s="131">
        <f t="shared" si="23"/>
        <v>0</v>
      </c>
      <c r="Z95" s="215">
        <f>IF(X95&gt;'Major critera'!$B$4,X95,0)</f>
        <v>0</v>
      </c>
      <c r="AA95" s="124">
        <f>IF(Y95&gt;'Major critera'!$C$4,Y95,0)</f>
        <v>0</v>
      </c>
    </row>
    <row r="96" spans="1:27" outlineLevel="1">
      <c r="A96" s="136"/>
      <c r="B96" s="136"/>
      <c r="C96" s="154" t="s">
        <v>296</v>
      </c>
      <c r="D96" s="137"/>
      <c r="E96" s="138"/>
      <c r="F96" s="136"/>
      <c r="G96" s="136"/>
      <c r="H96" s="136"/>
      <c r="I96" s="186">
        <f t="shared" ref="I96:U96" si="24">SUBTOTAL(9,I91:I95)</f>
        <v>0</v>
      </c>
      <c r="J96" s="186">
        <f t="shared" si="24"/>
        <v>0</v>
      </c>
      <c r="K96" s="186">
        <f t="shared" si="24"/>
        <v>0</v>
      </c>
      <c r="L96" s="186">
        <f t="shared" si="24"/>
        <v>0</v>
      </c>
      <c r="M96" s="186">
        <f t="shared" si="24"/>
        <v>0</v>
      </c>
      <c r="N96" s="186">
        <f t="shared" si="24"/>
        <v>0</v>
      </c>
      <c r="O96" s="186">
        <f t="shared" si="24"/>
        <v>0</v>
      </c>
      <c r="P96" s="186">
        <f t="shared" si="24"/>
        <v>0</v>
      </c>
      <c r="Q96" s="186">
        <f t="shared" si="24"/>
        <v>0</v>
      </c>
      <c r="R96" s="186">
        <f t="shared" si="24"/>
        <v>0</v>
      </c>
      <c r="S96" s="186">
        <f t="shared" si="24"/>
        <v>2300000</v>
      </c>
      <c r="T96" s="186">
        <f t="shared" si="24"/>
        <v>874998</v>
      </c>
      <c r="U96" s="186">
        <f t="shared" si="24"/>
        <v>3174998</v>
      </c>
      <c r="X96" s="131"/>
      <c r="Y96" s="131"/>
    </row>
    <row r="97" spans="1:40">
      <c r="A97" s="136"/>
      <c r="B97" s="136"/>
      <c r="C97" s="154" t="s">
        <v>126</v>
      </c>
      <c r="D97" s="137"/>
      <c r="E97" s="138"/>
      <c r="F97" s="136"/>
      <c r="G97" s="136"/>
      <c r="H97" s="136"/>
      <c r="I97" s="186">
        <f t="shared" ref="I97:U97" si="25">SUBTOTAL(9,I59:I95)</f>
        <v>414802</v>
      </c>
      <c r="J97" s="186">
        <f t="shared" si="25"/>
        <v>323347</v>
      </c>
      <c r="K97" s="186">
        <f t="shared" si="25"/>
        <v>689613</v>
      </c>
      <c r="L97" s="186">
        <f t="shared" si="25"/>
        <v>453016</v>
      </c>
      <c r="M97" s="186">
        <f t="shared" si="25"/>
        <v>1616037</v>
      </c>
      <c r="N97" s="186">
        <f t="shared" si="25"/>
        <v>581734</v>
      </c>
      <c r="O97" s="186">
        <f t="shared" si="25"/>
        <v>497848</v>
      </c>
      <c r="P97" s="186">
        <f t="shared" si="25"/>
        <v>536516</v>
      </c>
      <c r="Q97" s="186">
        <f t="shared" si="25"/>
        <v>12336402</v>
      </c>
      <c r="R97" s="186">
        <f t="shared" si="25"/>
        <v>1131916</v>
      </c>
      <c r="S97" s="186">
        <f t="shared" si="25"/>
        <v>2932078</v>
      </c>
      <c r="T97" s="186">
        <f t="shared" si="25"/>
        <v>17399310</v>
      </c>
      <c r="U97" s="186">
        <f t="shared" si="25"/>
        <v>38912619</v>
      </c>
      <c r="X97" s="131"/>
      <c r="Y97" s="131"/>
    </row>
    <row r="98" spans="1:40">
      <c r="A98" s="136"/>
      <c r="B98" s="136"/>
      <c r="C98" s="136"/>
      <c r="D98" s="137"/>
      <c r="E98" s="138"/>
      <c r="F98" s="136"/>
      <c r="G98" s="136"/>
      <c r="H98" s="136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</row>
    <row r="99" spans="1:40" outlineLevel="2">
      <c r="A99" s="136" t="s">
        <v>231</v>
      </c>
      <c r="B99" s="136" t="s">
        <v>202</v>
      </c>
      <c r="C99" s="136" t="s">
        <v>41</v>
      </c>
      <c r="D99" s="137" t="s">
        <v>407</v>
      </c>
      <c r="E99" s="138">
        <v>1050</v>
      </c>
      <c r="F99" s="136" t="s">
        <v>139</v>
      </c>
      <c r="G99" s="136" t="s">
        <v>28</v>
      </c>
      <c r="H99" s="136" t="s">
        <v>277</v>
      </c>
      <c r="I99" s="139">
        <f>I236*$V$236</f>
        <v>161523.64799999999</v>
      </c>
      <c r="J99" s="139">
        <f t="shared" ref="J99:T99" si="26">J236*$V$236</f>
        <v>54619.199999999997</v>
      </c>
      <c r="K99" s="139">
        <f t="shared" si="26"/>
        <v>54619.775999999998</v>
      </c>
      <c r="L99" s="139">
        <f t="shared" si="26"/>
        <v>161523.64799999999</v>
      </c>
      <c r="M99" s="139">
        <f t="shared" si="26"/>
        <v>54619.199999999997</v>
      </c>
      <c r="N99" s="139">
        <f t="shared" si="26"/>
        <v>54619.775999999998</v>
      </c>
      <c r="O99" s="139">
        <f t="shared" si="26"/>
        <v>161523.64799999999</v>
      </c>
      <c r="P99" s="139">
        <f t="shared" si="26"/>
        <v>54619.199999999997</v>
      </c>
      <c r="Q99" s="139">
        <f t="shared" si="26"/>
        <v>54619.775999999998</v>
      </c>
      <c r="R99" s="139">
        <f t="shared" si="26"/>
        <v>161523.64799999999</v>
      </c>
      <c r="S99" s="139">
        <f t="shared" si="26"/>
        <v>54619.199999999997</v>
      </c>
      <c r="T99" s="139">
        <f t="shared" si="26"/>
        <v>54620.927999999993</v>
      </c>
      <c r="U99" s="139">
        <f t="shared" ref="U99:U113" si="27">SUM(I99:T99)</f>
        <v>1083051.6479999998</v>
      </c>
      <c r="V99" s="145">
        <v>0</v>
      </c>
      <c r="W99" s="145">
        <f>'CAP15.1-Allocations'!$C$377*'CAP15.1-Allocations'!$C$375</f>
        <v>0.496141942</v>
      </c>
      <c r="X99" s="131">
        <f t="shared" ref="X99" si="28">U99*V99</f>
        <v>0</v>
      </c>
      <c r="Y99" s="131">
        <f t="shared" ref="Y99" si="29">W99*U99</f>
        <v>537347.34792502038</v>
      </c>
      <c r="Z99" s="217">
        <f>IF(X99&gt;'Major critera'!$B$4,X99,0)</f>
        <v>0</v>
      </c>
      <c r="AA99" s="217">
        <f>IF(Y99&gt;'Major critera'!$C$4,Y99,0)</f>
        <v>0</v>
      </c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</row>
    <row r="100" spans="1:40" outlineLevel="2">
      <c r="A100" s="136" t="s">
        <v>231</v>
      </c>
      <c r="B100" s="136" t="s">
        <v>202</v>
      </c>
      <c r="C100" s="136" t="s">
        <v>41</v>
      </c>
      <c r="D100" s="137" t="s">
        <v>407</v>
      </c>
      <c r="E100" s="138">
        <v>1051</v>
      </c>
      <c r="F100" s="136" t="s">
        <v>139</v>
      </c>
      <c r="G100" s="136" t="s">
        <v>29</v>
      </c>
      <c r="H100" s="136" t="s">
        <v>277</v>
      </c>
      <c r="I100" s="139">
        <f>I237*$V$237</f>
        <v>15819.839999999998</v>
      </c>
      <c r="J100" s="139">
        <f t="shared" ref="J100:T100" si="30">J237*$V$237</f>
        <v>15819.839999999998</v>
      </c>
      <c r="K100" s="139">
        <f t="shared" si="30"/>
        <v>15820.415999999999</v>
      </c>
      <c r="L100" s="139">
        <f t="shared" si="30"/>
        <v>15819.839999999998</v>
      </c>
      <c r="M100" s="139">
        <f t="shared" si="30"/>
        <v>15819.839999999998</v>
      </c>
      <c r="N100" s="139">
        <f t="shared" si="30"/>
        <v>15820.415999999999</v>
      </c>
      <c r="O100" s="139">
        <f t="shared" si="30"/>
        <v>15819.839999999998</v>
      </c>
      <c r="P100" s="139">
        <f t="shared" si="30"/>
        <v>15819.839999999998</v>
      </c>
      <c r="Q100" s="139">
        <f t="shared" si="30"/>
        <v>15820.415999999999</v>
      </c>
      <c r="R100" s="139">
        <f t="shared" si="30"/>
        <v>15819.839999999998</v>
      </c>
      <c r="S100" s="139">
        <f t="shared" si="30"/>
        <v>15819.839999999998</v>
      </c>
      <c r="T100" s="139">
        <f t="shared" si="30"/>
        <v>15820.415999999999</v>
      </c>
      <c r="U100" s="139">
        <f t="shared" si="27"/>
        <v>189840.38399999999</v>
      </c>
      <c r="V100" s="145">
        <v>0</v>
      </c>
      <c r="W100" s="145">
        <f>'CAP15.1-Allocations'!$C$377*'CAP15.1-Allocations'!$C$375</f>
        <v>0.496141942</v>
      </c>
      <c r="X100" s="131">
        <f t="shared" ref="X100:X113" si="31">U100*V100</f>
        <v>0</v>
      </c>
      <c r="Y100" s="131">
        <f t="shared" ref="Y100:Y113" si="32">W100*U100</f>
        <v>94187.776787785726</v>
      </c>
      <c r="Z100" s="217">
        <f>IF(X100&gt;'Major critera'!$B$4,X100,0)</f>
        <v>0</v>
      </c>
      <c r="AA100" s="217">
        <f>IF(Y100&gt;'Major critera'!$C$4,Y100,0)</f>
        <v>0</v>
      </c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</row>
    <row r="101" spans="1:40" outlineLevel="2">
      <c r="A101" s="136" t="s">
        <v>231</v>
      </c>
      <c r="B101" s="136" t="s">
        <v>202</v>
      </c>
      <c r="C101" s="136" t="s">
        <v>41</v>
      </c>
      <c r="D101" s="137" t="s">
        <v>407</v>
      </c>
      <c r="E101" s="138">
        <v>1053</v>
      </c>
      <c r="F101" s="136" t="s">
        <v>139</v>
      </c>
      <c r="G101" s="136" t="s">
        <v>30</v>
      </c>
      <c r="H101" s="136" t="s">
        <v>277</v>
      </c>
      <c r="I101" s="139">
        <f>I238*$V$238</f>
        <v>32560.127999999997</v>
      </c>
      <c r="J101" s="139">
        <f t="shared" ref="J101:T101" si="33">J238*$V$238</f>
        <v>32560.127999999997</v>
      </c>
      <c r="K101" s="139">
        <f t="shared" si="33"/>
        <v>32560.127999999997</v>
      </c>
      <c r="L101" s="139">
        <f t="shared" si="33"/>
        <v>32560.127999999997</v>
      </c>
      <c r="M101" s="139">
        <f t="shared" si="33"/>
        <v>32560.127999999997</v>
      </c>
      <c r="N101" s="139">
        <f t="shared" si="33"/>
        <v>32560.127999999997</v>
      </c>
      <c r="O101" s="139">
        <f t="shared" si="33"/>
        <v>32560.127999999997</v>
      </c>
      <c r="P101" s="139">
        <f t="shared" si="33"/>
        <v>32560.127999999997</v>
      </c>
      <c r="Q101" s="139">
        <f t="shared" si="33"/>
        <v>32560.127999999997</v>
      </c>
      <c r="R101" s="139">
        <f t="shared" si="33"/>
        <v>32560.127999999997</v>
      </c>
      <c r="S101" s="139">
        <f t="shared" si="33"/>
        <v>32560.127999999997</v>
      </c>
      <c r="T101" s="139">
        <f t="shared" si="33"/>
        <v>32558.399999999998</v>
      </c>
      <c r="U101" s="139">
        <f t="shared" si="27"/>
        <v>390719.80800000008</v>
      </c>
      <c r="V101" s="145">
        <v>0</v>
      </c>
      <c r="W101" s="145">
        <f>'CAP15.1-Allocations'!$C$377*'CAP15.1-Allocations'!$C$375</f>
        <v>0.496141942</v>
      </c>
      <c r="X101" s="131">
        <f t="shared" si="31"/>
        <v>0</v>
      </c>
      <c r="Y101" s="131">
        <f t="shared" si="32"/>
        <v>193852.48431898718</v>
      </c>
      <c r="Z101" s="217">
        <f>IF(X101&gt;'Major critera'!$B$4,X101,0)</f>
        <v>0</v>
      </c>
      <c r="AA101" s="217">
        <f>IF(Y101&gt;'Major critera'!$C$4,Y101,0)</f>
        <v>0</v>
      </c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</row>
    <row r="102" spans="1:40" outlineLevel="2">
      <c r="A102" s="136" t="s">
        <v>231</v>
      </c>
      <c r="B102" s="136" t="s">
        <v>202</v>
      </c>
      <c r="C102" s="136" t="s">
        <v>41</v>
      </c>
      <c r="D102" s="137" t="s">
        <v>437</v>
      </c>
      <c r="E102" s="138">
        <v>3000</v>
      </c>
      <c r="F102" s="136" t="s">
        <v>137</v>
      </c>
      <c r="G102" s="136" t="s">
        <v>52</v>
      </c>
      <c r="H102" s="136" t="s">
        <v>276</v>
      </c>
      <c r="I102" s="139">
        <v>67722</v>
      </c>
      <c r="J102" s="139">
        <v>56232</v>
      </c>
      <c r="K102" s="139">
        <v>66424</v>
      </c>
      <c r="L102" s="139">
        <v>73760</v>
      </c>
      <c r="M102" s="139">
        <v>80903</v>
      </c>
      <c r="N102" s="139">
        <v>102625</v>
      </c>
      <c r="O102" s="139">
        <v>115924</v>
      </c>
      <c r="P102" s="139">
        <v>95376</v>
      </c>
      <c r="Q102" s="139">
        <v>96197</v>
      </c>
      <c r="R102" s="139">
        <v>86525</v>
      </c>
      <c r="S102" s="139">
        <v>80891</v>
      </c>
      <c r="T102" s="139">
        <v>77421</v>
      </c>
      <c r="U102" s="139">
        <f t="shared" si="27"/>
        <v>1000000</v>
      </c>
      <c r="V102" s="145">
        <v>0</v>
      </c>
      <c r="W102" s="145">
        <f>'CAP15.1-Allocations'!$C$377*'CAP15.1-Allocations'!$C$375</f>
        <v>0.496141942</v>
      </c>
      <c r="X102" s="131">
        <f t="shared" si="31"/>
        <v>0</v>
      </c>
      <c r="Y102" s="131">
        <f t="shared" si="32"/>
        <v>496141.94199999998</v>
      </c>
      <c r="Z102" s="217">
        <f>IF(X102&gt;'Major critera'!$B$4,X102,0)</f>
        <v>0</v>
      </c>
      <c r="AA102" s="217">
        <f>IF(Y102&gt;'Major critera'!$C$4,Y102,0)</f>
        <v>0</v>
      </c>
    </row>
    <row r="103" spans="1:40" outlineLevel="2">
      <c r="A103" s="136" t="s">
        <v>231</v>
      </c>
      <c r="B103" s="136" t="s">
        <v>202</v>
      </c>
      <c r="C103" s="136" t="s">
        <v>41</v>
      </c>
      <c r="D103" s="137" t="s">
        <v>438</v>
      </c>
      <c r="E103" s="138">
        <v>3001</v>
      </c>
      <c r="F103" s="136" t="s">
        <v>137</v>
      </c>
      <c r="G103" s="136" t="s">
        <v>53</v>
      </c>
      <c r="H103" s="136" t="s">
        <v>276</v>
      </c>
      <c r="I103" s="139">
        <v>40000</v>
      </c>
      <c r="J103" s="139">
        <v>40000</v>
      </c>
      <c r="K103" s="139">
        <v>60000</v>
      </c>
      <c r="L103" s="139">
        <v>70000</v>
      </c>
      <c r="M103" s="139">
        <v>80000</v>
      </c>
      <c r="N103" s="139">
        <v>120000</v>
      </c>
      <c r="O103" s="139">
        <v>120000</v>
      </c>
      <c r="P103" s="139">
        <v>110000</v>
      </c>
      <c r="Q103" s="139">
        <v>110000</v>
      </c>
      <c r="R103" s="139">
        <v>90000</v>
      </c>
      <c r="S103" s="139">
        <v>80000</v>
      </c>
      <c r="T103" s="139">
        <v>80000</v>
      </c>
      <c r="U103" s="139">
        <f t="shared" si="27"/>
        <v>1000000</v>
      </c>
      <c r="V103" s="145">
        <v>0</v>
      </c>
      <c r="W103" s="145">
        <f>'CAP15.1-Allocations'!C233</f>
        <v>0.439</v>
      </c>
      <c r="X103" s="131">
        <f t="shared" si="31"/>
        <v>0</v>
      </c>
      <c r="Y103" s="131">
        <f t="shared" si="32"/>
        <v>439000</v>
      </c>
      <c r="Z103" s="217">
        <f>IF(X103&gt;'Major critera'!$B$4,X103,0)</f>
        <v>0</v>
      </c>
      <c r="AA103" s="217">
        <f>IF(Y103&gt;'Major critera'!$C$4,Y103,0)</f>
        <v>0</v>
      </c>
    </row>
    <row r="104" spans="1:40" outlineLevel="2">
      <c r="A104" s="136" t="s">
        <v>231</v>
      </c>
      <c r="B104" s="136" t="s">
        <v>202</v>
      </c>
      <c r="C104" s="136" t="s">
        <v>41</v>
      </c>
      <c r="D104" s="137" t="s">
        <v>439</v>
      </c>
      <c r="E104" s="138">
        <v>3002</v>
      </c>
      <c r="F104" s="136" t="s">
        <v>137</v>
      </c>
      <c r="G104" s="136" t="s">
        <v>54</v>
      </c>
      <c r="H104" s="136" t="s">
        <v>276</v>
      </c>
      <c r="I104" s="139">
        <v>44590</v>
      </c>
      <c r="J104" s="139">
        <v>39372</v>
      </c>
      <c r="K104" s="139">
        <v>50918</v>
      </c>
      <c r="L104" s="139">
        <v>57708</v>
      </c>
      <c r="M104" s="139">
        <v>64410</v>
      </c>
      <c r="N104" s="139">
        <v>88109</v>
      </c>
      <c r="O104" s="139">
        <v>94149</v>
      </c>
      <c r="P104" s="139">
        <v>81358</v>
      </c>
      <c r="Q104" s="139">
        <v>81731</v>
      </c>
      <c r="R104" s="139">
        <v>70423</v>
      </c>
      <c r="S104" s="139">
        <v>64404</v>
      </c>
      <c r="T104" s="139">
        <v>62829</v>
      </c>
      <c r="U104" s="139">
        <f t="shared" si="27"/>
        <v>800001</v>
      </c>
      <c r="V104" s="145">
        <v>0</v>
      </c>
      <c r="W104" s="145">
        <f>'CAP15.1-Allocations'!C239</f>
        <v>0.13550000000000001</v>
      </c>
      <c r="X104" s="131">
        <f t="shared" si="31"/>
        <v>0</v>
      </c>
      <c r="Y104" s="131">
        <f t="shared" si="32"/>
        <v>108400.1355</v>
      </c>
      <c r="Z104" s="217">
        <f>IF(X104&gt;'Major critera'!$B$4,X104,0)</f>
        <v>0</v>
      </c>
      <c r="AA104" s="217">
        <f>IF(Y104&gt;'Major critera'!$C$4,Y104,0)</f>
        <v>0</v>
      </c>
    </row>
    <row r="105" spans="1:40" outlineLevel="2">
      <c r="A105" s="136" t="s">
        <v>231</v>
      </c>
      <c r="B105" s="136" t="s">
        <v>202</v>
      </c>
      <c r="C105" s="136" t="s">
        <v>41</v>
      </c>
      <c r="D105" s="137" t="s">
        <v>440</v>
      </c>
      <c r="E105" s="138">
        <v>3003</v>
      </c>
      <c r="F105" s="136" t="s">
        <v>137</v>
      </c>
      <c r="G105" s="136" t="s">
        <v>55</v>
      </c>
      <c r="H105" s="136" t="s">
        <v>277</v>
      </c>
      <c r="I105" s="139">
        <v>265849</v>
      </c>
      <c r="J105" s="139">
        <v>243874</v>
      </c>
      <c r="K105" s="139">
        <v>282733</v>
      </c>
      <c r="L105" s="139">
        <v>322376</v>
      </c>
      <c r="M105" s="139">
        <v>394530</v>
      </c>
      <c r="N105" s="139">
        <v>408100</v>
      </c>
      <c r="O105" s="139">
        <v>400668</v>
      </c>
      <c r="P105" s="139">
        <v>434090</v>
      </c>
      <c r="Q105" s="139">
        <v>435659</v>
      </c>
      <c r="R105" s="139">
        <v>431153</v>
      </c>
      <c r="S105" s="139">
        <v>328782</v>
      </c>
      <c r="T105" s="139">
        <v>552186</v>
      </c>
      <c r="U105" s="139">
        <f t="shared" si="27"/>
        <v>4500000</v>
      </c>
      <c r="V105" s="145">
        <v>0</v>
      </c>
      <c r="W105" s="145">
        <f>'CAP15.1-Allocations'!C251</f>
        <v>0.2268</v>
      </c>
      <c r="X105" s="131">
        <f t="shared" si="31"/>
        <v>0</v>
      </c>
      <c r="Y105" s="131">
        <f t="shared" si="32"/>
        <v>1020600</v>
      </c>
      <c r="Z105" s="217">
        <f>IF(X105&gt;'Major critera'!$B$4,X105,0)</f>
        <v>0</v>
      </c>
      <c r="AA105" s="217">
        <f>IF(Y105&gt;'Major critera'!$C$4,Y105,0)</f>
        <v>0</v>
      </c>
    </row>
    <row r="106" spans="1:40" outlineLevel="2">
      <c r="A106" s="136" t="s">
        <v>231</v>
      </c>
      <c r="B106" s="136" t="s">
        <v>202</v>
      </c>
      <c r="C106" s="136" t="s">
        <v>41</v>
      </c>
      <c r="D106" s="137" t="s">
        <v>441</v>
      </c>
      <c r="E106" s="138">
        <v>3004</v>
      </c>
      <c r="F106" s="136" t="s">
        <v>137</v>
      </c>
      <c r="G106" s="136" t="s">
        <v>56</v>
      </c>
      <c r="H106" s="136" t="s">
        <v>277</v>
      </c>
      <c r="I106" s="139">
        <v>43895</v>
      </c>
      <c r="J106" s="139">
        <v>42902</v>
      </c>
      <c r="K106" s="139">
        <v>57555</v>
      </c>
      <c r="L106" s="139">
        <v>66825</v>
      </c>
      <c r="M106" s="139">
        <v>79578</v>
      </c>
      <c r="N106" s="139">
        <v>102000</v>
      </c>
      <c r="O106" s="139">
        <v>99649</v>
      </c>
      <c r="P106" s="139">
        <v>99737</v>
      </c>
      <c r="Q106" s="139">
        <v>99808</v>
      </c>
      <c r="R106" s="139">
        <v>88700</v>
      </c>
      <c r="S106" s="139">
        <v>72577</v>
      </c>
      <c r="T106" s="139">
        <v>96777</v>
      </c>
      <c r="U106" s="139">
        <f t="shared" si="27"/>
        <v>950003</v>
      </c>
      <c r="V106" s="145">
        <v>0</v>
      </c>
      <c r="W106" s="145">
        <f>'CAP15.1-Allocations'!C257</f>
        <v>0.68400000000000005</v>
      </c>
      <c r="X106" s="131">
        <f t="shared" si="31"/>
        <v>0</v>
      </c>
      <c r="Y106" s="131">
        <f t="shared" si="32"/>
        <v>649802.05200000003</v>
      </c>
      <c r="Z106" s="217">
        <f>IF(X106&gt;'Major critera'!$B$4,X106,0)</f>
        <v>0</v>
      </c>
      <c r="AA106" s="217">
        <f>IF(Y106&gt;'Major critera'!$C$4,Y106,0)</f>
        <v>0</v>
      </c>
    </row>
    <row r="107" spans="1:40" outlineLevel="2">
      <c r="A107" s="136" t="s">
        <v>231</v>
      </c>
      <c r="B107" s="136" t="s">
        <v>202</v>
      </c>
      <c r="C107" s="136" t="s">
        <v>41</v>
      </c>
      <c r="D107" s="137" t="s">
        <v>442</v>
      </c>
      <c r="E107" s="138">
        <v>3005</v>
      </c>
      <c r="F107" s="136" t="s">
        <v>137</v>
      </c>
      <c r="G107" s="136" t="s">
        <v>57</v>
      </c>
      <c r="H107" s="136" t="s">
        <v>276</v>
      </c>
      <c r="I107" s="139">
        <v>416888</v>
      </c>
      <c r="J107" s="139">
        <v>368764</v>
      </c>
      <c r="K107" s="139">
        <v>403274</v>
      </c>
      <c r="L107" s="139">
        <v>445095</v>
      </c>
      <c r="M107" s="139">
        <v>516579</v>
      </c>
      <c r="N107" s="139">
        <v>530161</v>
      </c>
      <c r="O107" s="139">
        <v>555390</v>
      </c>
      <c r="P107" s="139">
        <v>549621</v>
      </c>
      <c r="Q107" s="139">
        <v>553055</v>
      </c>
      <c r="R107" s="139">
        <v>551254</v>
      </c>
      <c r="S107" s="139">
        <v>455586</v>
      </c>
      <c r="T107" s="139">
        <v>654332</v>
      </c>
      <c r="U107" s="139">
        <f t="shared" si="27"/>
        <v>5999999</v>
      </c>
      <c r="V107" s="145">
        <v>0</v>
      </c>
      <c r="W107" s="145">
        <f>'CAP15.1-Allocations'!C263</f>
        <v>0.3624</v>
      </c>
      <c r="X107" s="131">
        <f t="shared" si="31"/>
        <v>0</v>
      </c>
      <c r="Y107" s="131">
        <f t="shared" si="32"/>
        <v>2174399.6376</v>
      </c>
      <c r="Z107" s="217">
        <f>IF(X107&gt;'Major critera'!$B$4,X107,0)</f>
        <v>0</v>
      </c>
      <c r="AA107" s="217">
        <f>IF(Y107&gt;'Major critera'!$C$4,Y107,0)</f>
        <v>2174399.6376</v>
      </c>
    </row>
    <row r="108" spans="1:40" outlineLevel="2">
      <c r="A108" s="136" t="s">
        <v>231</v>
      </c>
      <c r="B108" s="136" t="s">
        <v>202</v>
      </c>
      <c r="C108" s="136" t="s">
        <v>41</v>
      </c>
      <c r="D108" s="137" t="s">
        <v>443</v>
      </c>
      <c r="E108" s="138">
        <v>3006</v>
      </c>
      <c r="F108" s="136" t="s">
        <v>137</v>
      </c>
      <c r="G108" s="136" t="s">
        <v>5</v>
      </c>
      <c r="H108" s="136" t="s">
        <v>277</v>
      </c>
      <c r="I108" s="139">
        <v>83098</v>
      </c>
      <c r="J108" s="139">
        <v>73206</v>
      </c>
      <c r="K108" s="139">
        <v>71903</v>
      </c>
      <c r="L108" s="139">
        <v>73308</v>
      </c>
      <c r="M108" s="139">
        <v>74798</v>
      </c>
      <c r="N108" s="139">
        <v>72839</v>
      </c>
      <c r="O108" s="139">
        <v>84033</v>
      </c>
      <c r="P108" s="139">
        <v>72016</v>
      </c>
      <c r="Q108" s="139">
        <v>72723</v>
      </c>
      <c r="R108" s="139">
        <v>74727</v>
      </c>
      <c r="S108" s="139">
        <v>74281</v>
      </c>
      <c r="T108" s="139">
        <v>73068</v>
      </c>
      <c r="U108" s="139">
        <f t="shared" si="27"/>
        <v>900000</v>
      </c>
      <c r="V108" s="145">
        <v>0</v>
      </c>
      <c r="W108" s="145">
        <f>'CAP15.1-Allocations'!C269</f>
        <v>0.21049999999999999</v>
      </c>
      <c r="X108" s="131">
        <f t="shared" si="31"/>
        <v>0</v>
      </c>
      <c r="Y108" s="131">
        <f t="shared" si="32"/>
        <v>189450</v>
      </c>
      <c r="Z108" s="217">
        <f>IF(X108&gt;'Major critera'!$B$4,X108,0)</f>
        <v>0</v>
      </c>
      <c r="AA108" s="217">
        <f>IF(Y108&gt;'Major critera'!$C$4,Y108,0)</f>
        <v>0</v>
      </c>
    </row>
    <row r="109" spans="1:40" outlineLevel="2">
      <c r="A109" s="136" t="s">
        <v>231</v>
      </c>
      <c r="B109" s="136" t="s">
        <v>202</v>
      </c>
      <c r="C109" s="136" t="s">
        <v>41</v>
      </c>
      <c r="D109" s="137" t="s">
        <v>444</v>
      </c>
      <c r="E109" s="138">
        <v>3007</v>
      </c>
      <c r="F109" s="136" t="s">
        <v>137</v>
      </c>
      <c r="G109" s="136" t="s">
        <v>204</v>
      </c>
      <c r="H109" s="136" t="s">
        <v>277</v>
      </c>
      <c r="I109" s="139">
        <v>245218</v>
      </c>
      <c r="J109" s="139">
        <v>209989</v>
      </c>
      <c r="K109" s="139">
        <v>226841</v>
      </c>
      <c r="L109" s="139">
        <v>253087</v>
      </c>
      <c r="M109" s="139">
        <v>300982</v>
      </c>
      <c r="N109" s="139">
        <v>294003</v>
      </c>
      <c r="O109" s="139">
        <v>312543</v>
      </c>
      <c r="P109" s="139">
        <v>312406</v>
      </c>
      <c r="Q109" s="139">
        <v>314922</v>
      </c>
      <c r="R109" s="139">
        <v>322061</v>
      </c>
      <c r="S109" s="139">
        <v>256480</v>
      </c>
      <c r="T109" s="139">
        <v>401468</v>
      </c>
      <c r="U109" s="139">
        <f t="shared" si="27"/>
        <v>3450000</v>
      </c>
      <c r="V109" s="145">
        <v>0</v>
      </c>
      <c r="W109" s="145">
        <f>'CAP15.1-Allocations'!C276</f>
        <v>0.76100000000000001</v>
      </c>
      <c r="X109" s="131">
        <f t="shared" si="31"/>
        <v>0</v>
      </c>
      <c r="Y109" s="131">
        <f t="shared" si="32"/>
        <v>2625450</v>
      </c>
      <c r="Z109" s="217">
        <f>IF(X109&gt;'Major critera'!$B$4,X109,0)</f>
        <v>0</v>
      </c>
      <c r="AA109" s="217">
        <f>IF(Y109&gt;'Major critera'!$C$4,Y109,0)</f>
        <v>2625450</v>
      </c>
    </row>
    <row r="110" spans="1:40" outlineLevel="2">
      <c r="A110" s="136" t="s">
        <v>231</v>
      </c>
      <c r="B110" s="136" t="s">
        <v>202</v>
      </c>
      <c r="C110" s="136" t="s">
        <v>41</v>
      </c>
      <c r="D110" s="137" t="s">
        <v>445</v>
      </c>
      <c r="E110" s="138">
        <v>3008</v>
      </c>
      <c r="F110" s="136" t="s">
        <v>137</v>
      </c>
      <c r="G110" s="136" t="s">
        <v>205</v>
      </c>
      <c r="H110" s="136" t="s">
        <v>276</v>
      </c>
      <c r="I110" s="139">
        <v>966908</v>
      </c>
      <c r="J110" s="139">
        <v>905859</v>
      </c>
      <c r="K110" s="139">
        <v>1043178</v>
      </c>
      <c r="L110" s="139">
        <v>1197195</v>
      </c>
      <c r="M110" s="139">
        <v>1497110</v>
      </c>
      <c r="N110" s="139">
        <v>1485015</v>
      </c>
      <c r="O110" s="139">
        <v>1408754</v>
      </c>
      <c r="P110" s="139">
        <v>1625299</v>
      </c>
      <c r="Q110" s="139">
        <v>1629658</v>
      </c>
      <c r="R110" s="139">
        <v>1642032</v>
      </c>
      <c r="S110" s="139">
        <v>1203206</v>
      </c>
      <c r="T110" s="139">
        <v>2213215</v>
      </c>
      <c r="U110" s="139">
        <f t="shared" si="27"/>
        <v>16817429</v>
      </c>
      <c r="V110" s="145">
        <v>0</v>
      </c>
      <c r="W110" s="145">
        <f>'CAP15.1-Allocations'!C283</f>
        <v>0.48</v>
      </c>
      <c r="X110" s="131">
        <f t="shared" si="31"/>
        <v>0</v>
      </c>
      <c r="Y110" s="131">
        <f t="shared" si="32"/>
        <v>8072365.9199999999</v>
      </c>
      <c r="Z110" s="217">
        <f>IF(X110&gt;'Major critera'!$B$4,X110,0)</f>
        <v>0</v>
      </c>
      <c r="AA110" s="217">
        <f>IF(Y110&gt;'Major critera'!$C$4,Y110,0)</f>
        <v>8072365.9199999999</v>
      </c>
    </row>
    <row r="111" spans="1:40" outlineLevel="2">
      <c r="A111" s="136" t="s">
        <v>231</v>
      </c>
      <c r="B111" s="136" t="s">
        <v>202</v>
      </c>
      <c r="C111" s="136" t="s">
        <v>41</v>
      </c>
      <c r="D111" s="137" t="s">
        <v>316</v>
      </c>
      <c r="E111" s="138">
        <v>3054</v>
      </c>
      <c r="F111" s="136" t="s">
        <v>137</v>
      </c>
      <c r="G111" s="136" t="s">
        <v>316</v>
      </c>
      <c r="H111" s="136" t="s">
        <v>276</v>
      </c>
      <c r="I111" s="139">
        <v>30717</v>
      </c>
      <c r="J111" s="139">
        <v>25016</v>
      </c>
      <c r="K111" s="139">
        <v>27300</v>
      </c>
      <c r="L111" s="139">
        <v>29997</v>
      </c>
      <c r="M111" s="139">
        <v>33487</v>
      </c>
      <c r="N111" s="139">
        <v>36941</v>
      </c>
      <c r="O111" s="139">
        <v>42650</v>
      </c>
      <c r="P111" s="139">
        <v>36064</v>
      </c>
      <c r="Q111" s="139">
        <v>36470</v>
      </c>
      <c r="R111" s="139">
        <v>35336</v>
      </c>
      <c r="S111" s="139">
        <v>31704</v>
      </c>
      <c r="T111" s="139">
        <v>36209</v>
      </c>
      <c r="U111" s="139">
        <f t="shared" si="27"/>
        <v>401891</v>
      </c>
      <c r="V111" s="145">
        <v>0</v>
      </c>
      <c r="W111" s="145">
        <f>'CAP15.1-Allocations'!$C$377*'CAP15.1-Allocations'!$C$375</f>
        <v>0.496141942</v>
      </c>
      <c r="X111" s="131">
        <f t="shared" si="31"/>
        <v>0</v>
      </c>
      <c r="Y111" s="131">
        <f t="shared" si="32"/>
        <v>199394.98121232199</v>
      </c>
      <c r="Z111" s="217">
        <f>IF(X111&gt;'Major critera'!$B$4,X111,0)</f>
        <v>0</v>
      </c>
      <c r="AA111" s="217">
        <f>IF(Y111&gt;'Major critera'!$C$4,Y111,0)</f>
        <v>0</v>
      </c>
    </row>
    <row r="112" spans="1:40" outlineLevel="2">
      <c r="A112" s="136" t="s">
        <v>231</v>
      </c>
      <c r="B112" s="136" t="s">
        <v>202</v>
      </c>
      <c r="C112" s="136" t="s">
        <v>41</v>
      </c>
      <c r="D112" s="137" t="s">
        <v>446</v>
      </c>
      <c r="E112" s="138">
        <v>3055</v>
      </c>
      <c r="F112" s="136" t="s">
        <v>137</v>
      </c>
      <c r="G112" s="136" t="s">
        <v>317</v>
      </c>
      <c r="H112" s="136" t="s">
        <v>276</v>
      </c>
      <c r="I112" s="139">
        <v>79781</v>
      </c>
      <c r="J112" s="139">
        <v>64280</v>
      </c>
      <c r="K112" s="139">
        <v>70467</v>
      </c>
      <c r="L112" s="139">
        <v>77173</v>
      </c>
      <c r="M112" s="139">
        <v>84802</v>
      </c>
      <c r="N112" s="139">
        <v>96609</v>
      </c>
      <c r="O112" s="139">
        <v>113365</v>
      </c>
      <c r="P112" s="139">
        <v>92389</v>
      </c>
      <c r="Q112" s="139">
        <v>93496</v>
      </c>
      <c r="R112" s="139">
        <v>89198</v>
      </c>
      <c r="S112" s="139">
        <v>82417</v>
      </c>
      <c r="T112" s="139">
        <v>86023</v>
      </c>
      <c r="U112" s="139">
        <f t="shared" si="27"/>
        <v>1030000</v>
      </c>
      <c r="V112" s="145">
        <v>0</v>
      </c>
      <c r="W112" s="145">
        <f>'CAP15.1-Allocations'!$C$377*'CAP15.1-Allocations'!$C$375</f>
        <v>0.496141942</v>
      </c>
      <c r="X112" s="131">
        <f t="shared" si="31"/>
        <v>0</v>
      </c>
      <c r="Y112" s="131">
        <f t="shared" si="32"/>
        <v>511026.20026000001</v>
      </c>
      <c r="Z112" s="217">
        <f>IF(X112&gt;'Major critera'!$B$4,X112,0)</f>
        <v>0</v>
      </c>
      <c r="AA112" s="217">
        <f>IF(Y112&gt;'Major critera'!$C$4,Y112,0)</f>
        <v>0</v>
      </c>
    </row>
    <row r="113" spans="1:27" outlineLevel="2">
      <c r="A113" s="136" t="s">
        <v>231</v>
      </c>
      <c r="B113" s="136" t="s">
        <v>202</v>
      </c>
      <c r="C113" s="136" t="s">
        <v>41</v>
      </c>
      <c r="D113" s="137" t="s">
        <v>318</v>
      </c>
      <c r="E113" s="138">
        <v>3057</v>
      </c>
      <c r="F113" s="136" t="s">
        <v>137</v>
      </c>
      <c r="G113" s="136" t="s">
        <v>318</v>
      </c>
      <c r="H113" s="136" t="s">
        <v>276</v>
      </c>
      <c r="I113" s="139">
        <v>0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f t="shared" si="27"/>
        <v>0</v>
      </c>
      <c r="V113" s="145">
        <v>0</v>
      </c>
      <c r="W113" s="145">
        <f>'CAP15.1-Allocations'!$C$377*'CAP15.1-Allocations'!$C$375</f>
        <v>0.496141942</v>
      </c>
      <c r="X113" s="131">
        <f t="shared" si="31"/>
        <v>0</v>
      </c>
      <c r="Y113" s="131">
        <f t="shared" si="32"/>
        <v>0</v>
      </c>
      <c r="Z113" s="217">
        <f>IF(X113&gt;'Major critera'!$B$4,X113,0)</f>
        <v>0</v>
      </c>
      <c r="AA113" s="217">
        <f>IF(Y113&gt;'Major critera'!$C$4,Y113,0)</f>
        <v>0</v>
      </c>
    </row>
    <row r="114" spans="1:27" outlineLevel="1">
      <c r="A114" s="136"/>
      <c r="B114" s="136"/>
      <c r="C114" s="155" t="s">
        <v>297</v>
      </c>
      <c r="D114" s="137"/>
      <c r="E114" s="138"/>
      <c r="F114" s="136"/>
      <c r="G114" s="136"/>
      <c r="H114" s="136"/>
      <c r="I114" s="186">
        <f t="shared" ref="I114:U114" si="34">SUBTOTAL(9,I99:I113)</f>
        <v>2494569.6159999999</v>
      </c>
      <c r="J114" s="186">
        <f t="shared" si="34"/>
        <v>2172493.1680000001</v>
      </c>
      <c r="K114" s="186">
        <f t="shared" si="34"/>
        <v>2463593.3200000003</v>
      </c>
      <c r="L114" s="186">
        <f t="shared" si="34"/>
        <v>2876427.6159999999</v>
      </c>
      <c r="M114" s="186">
        <f t="shared" si="34"/>
        <v>3310178.1680000001</v>
      </c>
      <c r="N114" s="186">
        <f t="shared" si="34"/>
        <v>3439402.3200000003</v>
      </c>
      <c r="O114" s="186">
        <f t="shared" si="34"/>
        <v>3557028.6159999999</v>
      </c>
      <c r="P114" s="186">
        <f t="shared" si="34"/>
        <v>3611355.1680000001</v>
      </c>
      <c r="Q114" s="186">
        <f t="shared" si="34"/>
        <v>3626719.3200000003</v>
      </c>
      <c r="R114" s="186">
        <f t="shared" si="34"/>
        <v>3691312.6159999999</v>
      </c>
      <c r="S114" s="186">
        <f t="shared" si="34"/>
        <v>2833327.1680000001</v>
      </c>
      <c r="T114" s="186">
        <f t="shared" si="34"/>
        <v>4436527.7439999999</v>
      </c>
      <c r="U114" s="186">
        <f t="shared" si="34"/>
        <v>38512934.840000004</v>
      </c>
    </row>
    <row r="115" spans="1:27" outlineLevel="2">
      <c r="A115" s="136" t="s">
        <v>231</v>
      </c>
      <c r="B115" s="136" t="s">
        <v>202</v>
      </c>
      <c r="C115" s="136" t="s">
        <v>40</v>
      </c>
      <c r="D115" s="137" t="s">
        <v>447</v>
      </c>
      <c r="E115" s="138">
        <v>3117</v>
      </c>
      <c r="F115" s="136" t="s">
        <v>137</v>
      </c>
      <c r="G115" s="136" t="s">
        <v>58</v>
      </c>
      <c r="H115" s="136" t="s">
        <v>277</v>
      </c>
      <c r="I115" s="139">
        <v>31842</v>
      </c>
      <c r="J115" s="139">
        <v>26106</v>
      </c>
      <c r="K115" s="139">
        <v>27207</v>
      </c>
      <c r="L115" s="139">
        <v>29877</v>
      </c>
      <c r="M115" s="139">
        <v>34453</v>
      </c>
      <c r="N115" s="139">
        <v>33317</v>
      </c>
      <c r="O115" s="139">
        <v>37953</v>
      </c>
      <c r="P115" s="139">
        <v>34696</v>
      </c>
      <c r="Q115" s="139">
        <v>35106</v>
      </c>
      <c r="R115" s="139">
        <v>36268</v>
      </c>
      <c r="S115" s="139">
        <v>30441</v>
      </c>
      <c r="T115" s="139">
        <v>42734</v>
      </c>
      <c r="U115" s="139">
        <f>SUM(I115:T115)</f>
        <v>400000</v>
      </c>
      <c r="V115" s="145">
        <v>0</v>
      </c>
      <c r="W115" s="145">
        <f>'CAP15.1-Allocations'!C375</f>
        <v>0.72184999999999999</v>
      </c>
      <c r="X115" s="131">
        <f t="shared" ref="X115" si="35">U115*V115</f>
        <v>0</v>
      </c>
      <c r="Y115" s="131">
        <f t="shared" ref="Y115" si="36">W115*U115</f>
        <v>288740</v>
      </c>
      <c r="Z115" s="215">
        <f>IF(X115&gt;'Major critera'!$B$4,X115,0)</f>
        <v>0</v>
      </c>
      <c r="AA115" s="215">
        <f>IF(Y115&gt;'Major critera'!$C$4,Y115,0)</f>
        <v>0</v>
      </c>
    </row>
    <row r="116" spans="1:27" outlineLevel="1">
      <c r="A116" s="136"/>
      <c r="B116" s="136"/>
      <c r="C116" s="154" t="s">
        <v>294</v>
      </c>
      <c r="D116" s="137"/>
      <c r="E116" s="138"/>
      <c r="F116" s="136"/>
      <c r="G116" s="136"/>
      <c r="H116" s="136"/>
      <c r="I116" s="186">
        <f t="shared" ref="I116:U116" si="37">SUBTOTAL(9,I115:I115)</f>
        <v>31842</v>
      </c>
      <c r="J116" s="186">
        <f t="shared" si="37"/>
        <v>26106</v>
      </c>
      <c r="K116" s="186">
        <f t="shared" si="37"/>
        <v>27207</v>
      </c>
      <c r="L116" s="186">
        <f t="shared" si="37"/>
        <v>29877</v>
      </c>
      <c r="M116" s="186">
        <f t="shared" si="37"/>
        <v>34453</v>
      </c>
      <c r="N116" s="186">
        <f t="shared" si="37"/>
        <v>33317</v>
      </c>
      <c r="O116" s="186">
        <f t="shared" si="37"/>
        <v>37953</v>
      </c>
      <c r="P116" s="186">
        <f t="shared" si="37"/>
        <v>34696</v>
      </c>
      <c r="Q116" s="186">
        <f t="shared" si="37"/>
        <v>35106</v>
      </c>
      <c r="R116" s="186">
        <f t="shared" si="37"/>
        <v>36268</v>
      </c>
      <c r="S116" s="186">
        <f t="shared" si="37"/>
        <v>30441</v>
      </c>
      <c r="T116" s="186">
        <f t="shared" si="37"/>
        <v>42734</v>
      </c>
      <c r="U116" s="186">
        <f t="shared" si="37"/>
        <v>400000</v>
      </c>
    </row>
    <row r="117" spans="1:27" outlineLevel="2">
      <c r="A117" s="136" t="s">
        <v>231</v>
      </c>
      <c r="B117" s="136" t="s">
        <v>202</v>
      </c>
      <c r="C117" s="136" t="s">
        <v>46</v>
      </c>
      <c r="D117" s="137" t="s">
        <v>448</v>
      </c>
      <c r="E117" s="138">
        <v>3301</v>
      </c>
      <c r="F117" s="136" t="s">
        <v>137</v>
      </c>
      <c r="G117" s="136" t="s">
        <v>322</v>
      </c>
      <c r="H117" s="136" t="s">
        <v>278</v>
      </c>
      <c r="I117" s="139">
        <v>0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f>SUM(I117:T117)</f>
        <v>0</v>
      </c>
      <c r="V117" s="145">
        <v>0</v>
      </c>
      <c r="W117" s="145">
        <v>0</v>
      </c>
      <c r="X117" s="131">
        <f t="shared" ref="X117:X118" si="38">U117*V117</f>
        <v>0</v>
      </c>
      <c r="Y117" s="131">
        <f t="shared" ref="Y117:Y118" si="39">W117*U117</f>
        <v>0</v>
      </c>
      <c r="Z117" s="215">
        <f>IF(X117&gt;'Major critera'!$B$4,X117,0)</f>
        <v>0</v>
      </c>
      <c r="AA117" s="215">
        <f>IF(Y117&gt;'Major critera'!$C$4,Y117,0)</f>
        <v>0</v>
      </c>
    </row>
    <row r="118" spans="1:27" outlineLevel="2">
      <c r="A118" s="136" t="s">
        <v>231</v>
      </c>
      <c r="B118" s="136" t="s">
        <v>202</v>
      </c>
      <c r="C118" s="136" t="s">
        <v>46</v>
      </c>
      <c r="D118" s="137" t="s">
        <v>449</v>
      </c>
      <c r="E118" s="138">
        <v>3305</v>
      </c>
      <c r="F118" s="136" t="s">
        <v>137</v>
      </c>
      <c r="G118" s="136" t="s">
        <v>323</v>
      </c>
      <c r="H118" s="136" t="s">
        <v>278</v>
      </c>
      <c r="I118" s="139">
        <v>0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999998</v>
      </c>
      <c r="S118" s="139">
        <v>0</v>
      </c>
      <c r="T118" s="139">
        <v>0</v>
      </c>
      <c r="U118" s="139">
        <f>SUM(I118:T118)</f>
        <v>999998</v>
      </c>
      <c r="V118" s="145">
        <v>0</v>
      </c>
      <c r="W118" s="145">
        <v>0</v>
      </c>
      <c r="X118" s="131">
        <f t="shared" si="38"/>
        <v>0</v>
      </c>
      <c r="Y118" s="131">
        <f t="shared" si="39"/>
        <v>0</v>
      </c>
      <c r="Z118" s="215">
        <f>IF(X118&gt;'Major critera'!$B$4,X118,0)</f>
        <v>0</v>
      </c>
      <c r="AA118" s="215">
        <f>IF(Y118&gt;'Major critera'!$C$4,Y118,0)</f>
        <v>0</v>
      </c>
    </row>
    <row r="119" spans="1:27" outlineLevel="1">
      <c r="A119" s="136"/>
      <c r="B119" s="136"/>
      <c r="C119" s="154" t="s">
        <v>295</v>
      </c>
      <c r="D119" s="137"/>
      <c r="E119" s="138"/>
      <c r="F119" s="136"/>
      <c r="G119" s="136"/>
      <c r="H119" s="136"/>
      <c r="I119" s="186">
        <f t="shared" ref="I119:U119" si="40">SUBTOTAL(9,I117:I118)</f>
        <v>0</v>
      </c>
      <c r="J119" s="186">
        <f t="shared" si="40"/>
        <v>0</v>
      </c>
      <c r="K119" s="186">
        <f t="shared" si="40"/>
        <v>0</v>
      </c>
      <c r="L119" s="186">
        <f t="shared" si="40"/>
        <v>0</v>
      </c>
      <c r="M119" s="186">
        <f t="shared" si="40"/>
        <v>0</v>
      </c>
      <c r="N119" s="186">
        <f t="shared" si="40"/>
        <v>0</v>
      </c>
      <c r="O119" s="186">
        <f t="shared" si="40"/>
        <v>0</v>
      </c>
      <c r="P119" s="186">
        <f t="shared" si="40"/>
        <v>0</v>
      </c>
      <c r="Q119" s="186">
        <f t="shared" si="40"/>
        <v>0</v>
      </c>
      <c r="R119" s="186">
        <f t="shared" si="40"/>
        <v>999998</v>
      </c>
      <c r="S119" s="186">
        <f t="shared" si="40"/>
        <v>0</v>
      </c>
      <c r="T119" s="186">
        <f t="shared" si="40"/>
        <v>0</v>
      </c>
      <c r="U119" s="186">
        <f t="shared" si="40"/>
        <v>999998</v>
      </c>
    </row>
    <row r="120" spans="1:27" outlineLevel="2">
      <c r="A120" s="136" t="s">
        <v>231</v>
      </c>
      <c r="B120" s="136" t="s">
        <v>202</v>
      </c>
      <c r="C120" s="136" t="s">
        <v>59</v>
      </c>
      <c r="D120" s="137" t="s">
        <v>450</v>
      </c>
      <c r="E120" s="138">
        <v>3203</v>
      </c>
      <c r="F120" s="136" t="s">
        <v>137</v>
      </c>
      <c r="G120" s="136" t="s">
        <v>319</v>
      </c>
      <c r="H120" s="136" t="s">
        <v>278</v>
      </c>
      <c r="I120" s="139">
        <v>0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4999907</v>
      </c>
      <c r="T120" s="139">
        <v>0</v>
      </c>
      <c r="U120" s="139">
        <f>SUM(I120:T120)</f>
        <v>4999907</v>
      </c>
      <c r="V120" s="145">
        <v>0</v>
      </c>
      <c r="W120" s="145">
        <v>0</v>
      </c>
      <c r="X120" s="131">
        <f t="shared" ref="X120:X122" si="41">U120*V120</f>
        <v>0</v>
      </c>
      <c r="Y120" s="131">
        <f t="shared" ref="Y120:Y122" si="42">W120*U120</f>
        <v>0</v>
      </c>
      <c r="Z120" s="215">
        <f>IF(X120&gt;'Major critera'!$B$4,X120,0)</f>
        <v>0</v>
      </c>
      <c r="AA120" s="215">
        <f>IF(Y120&gt;'Major critera'!$C$4,Y120,0)</f>
        <v>0</v>
      </c>
    </row>
    <row r="121" spans="1:27" outlineLevel="2">
      <c r="A121" s="136" t="s">
        <v>231</v>
      </c>
      <c r="B121" s="136" t="s">
        <v>202</v>
      </c>
      <c r="C121" s="136" t="s">
        <v>59</v>
      </c>
      <c r="D121" s="137" t="s">
        <v>451</v>
      </c>
      <c r="E121" s="138">
        <v>3209</v>
      </c>
      <c r="F121" s="136" t="s">
        <v>137</v>
      </c>
      <c r="G121" s="136" t="s">
        <v>320</v>
      </c>
      <c r="H121" s="136" t="s">
        <v>287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f>SUM(I121:T121)</f>
        <v>0</v>
      </c>
      <c r="V121" s="145">
        <v>0</v>
      </c>
      <c r="W121" s="145">
        <v>0</v>
      </c>
      <c r="X121" s="131">
        <f t="shared" si="41"/>
        <v>0</v>
      </c>
      <c r="Y121" s="131">
        <f t="shared" si="42"/>
        <v>0</v>
      </c>
      <c r="Z121" s="215">
        <f>IF(X121&gt;'Major critera'!$B$4,X121,0)</f>
        <v>0</v>
      </c>
      <c r="AA121" s="215">
        <f>IF(Y121&gt;'Major critera'!$C$4,Y121,0)</f>
        <v>0</v>
      </c>
    </row>
    <row r="122" spans="1:27" outlineLevel="2">
      <c r="A122" s="136" t="s">
        <v>231</v>
      </c>
      <c r="B122" s="136" t="s">
        <v>202</v>
      </c>
      <c r="C122" s="136" t="s">
        <v>59</v>
      </c>
      <c r="D122" s="137" t="s">
        <v>452</v>
      </c>
      <c r="E122" s="138">
        <v>3307</v>
      </c>
      <c r="F122" s="136" t="s">
        <v>137</v>
      </c>
      <c r="G122" s="136" t="s">
        <v>325</v>
      </c>
      <c r="H122" s="136" t="s">
        <v>278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506294</v>
      </c>
      <c r="S122" s="139">
        <v>47096</v>
      </c>
      <c r="T122" s="139">
        <v>47095</v>
      </c>
      <c r="U122" s="139">
        <f>SUM(I122:T122)</f>
        <v>600485</v>
      </c>
      <c r="V122" s="145">
        <v>0</v>
      </c>
      <c r="W122" s="145">
        <v>0</v>
      </c>
      <c r="X122" s="131">
        <f t="shared" si="41"/>
        <v>0</v>
      </c>
      <c r="Y122" s="131">
        <f t="shared" si="42"/>
        <v>0</v>
      </c>
      <c r="Z122" s="215">
        <f>IF(X122&gt;'Major critera'!$B$4,X122,0)</f>
        <v>0</v>
      </c>
      <c r="AA122" s="215">
        <f>IF(Y122&gt;'Major critera'!$C$4,Y122,0)</f>
        <v>0</v>
      </c>
    </row>
    <row r="123" spans="1:27" outlineLevel="1">
      <c r="A123" s="136"/>
      <c r="B123" s="136"/>
      <c r="C123" s="154" t="s">
        <v>298</v>
      </c>
      <c r="D123" s="137"/>
      <c r="E123" s="138"/>
      <c r="F123" s="136"/>
      <c r="G123" s="136"/>
      <c r="H123" s="136"/>
      <c r="I123" s="186">
        <f t="shared" ref="I123:U123" si="43">SUBTOTAL(9,I120:I122)</f>
        <v>0</v>
      </c>
      <c r="J123" s="186">
        <f t="shared" si="43"/>
        <v>0</v>
      </c>
      <c r="K123" s="186">
        <f t="shared" si="43"/>
        <v>0</v>
      </c>
      <c r="L123" s="186">
        <f t="shared" si="43"/>
        <v>0</v>
      </c>
      <c r="M123" s="186">
        <f t="shared" si="43"/>
        <v>0</v>
      </c>
      <c r="N123" s="186">
        <f t="shared" si="43"/>
        <v>0</v>
      </c>
      <c r="O123" s="186">
        <f t="shared" si="43"/>
        <v>0</v>
      </c>
      <c r="P123" s="186">
        <f t="shared" si="43"/>
        <v>0</v>
      </c>
      <c r="Q123" s="186">
        <f t="shared" si="43"/>
        <v>0</v>
      </c>
      <c r="R123" s="186">
        <f t="shared" si="43"/>
        <v>506294</v>
      </c>
      <c r="S123" s="186">
        <f t="shared" si="43"/>
        <v>5047003</v>
      </c>
      <c r="T123" s="186">
        <f t="shared" si="43"/>
        <v>47095</v>
      </c>
      <c r="U123" s="186">
        <f t="shared" si="43"/>
        <v>5600392</v>
      </c>
    </row>
    <row r="124" spans="1:27" outlineLevel="2">
      <c r="A124" s="136" t="s">
        <v>231</v>
      </c>
      <c r="B124" s="136" t="s">
        <v>202</v>
      </c>
      <c r="C124" s="136" t="s">
        <v>39</v>
      </c>
      <c r="D124" s="137" t="s">
        <v>453</v>
      </c>
      <c r="E124" s="138">
        <v>3237</v>
      </c>
      <c r="F124" s="136" t="s">
        <v>137</v>
      </c>
      <c r="G124" s="136" t="s">
        <v>321</v>
      </c>
      <c r="H124" s="136" t="s">
        <v>278</v>
      </c>
      <c r="I124" s="139">
        <v>0</v>
      </c>
      <c r="J124" s="139">
        <v>0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f>SUM(I124:T124)</f>
        <v>0</v>
      </c>
      <c r="V124" s="145">
        <v>0</v>
      </c>
      <c r="W124" s="145">
        <v>1</v>
      </c>
      <c r="X124" s="131">
        <f t="shared" ref="X124:X125" si="44">U124*V124</f>
        <v>0</v>
      </c>
      <c r="Y124" s="131">
        <f t="shared" ref="Y124:Y125" si="45">W124*U124</f>
        <v>0</v>
      </c>
      <c r="Z124" s="217">
        <f>IF(X124&gt;'Major critera'!$B$4,X124,0)</f>
        <v>0</v>
      </c>
      <c r="AA124" s="217">
        <f>IF(Y124&gt;'Major critera'!$C$4,Y124,0)</f>
        <v>0</v>
      </c>
    </row>
    <row r="125" spans="1:27" outlineLevel="2">
      <c r="A125" s="136" t="s">
        <v>231</v>
      </c>
      <c r="B125" s="136" t="s">
        <v>202</v>
      </c>
      <c r="C125" s="136" t="s">
        <v>39</v>
      </c>
      <c r="D125" s="137" t="s">
        <v>454</v>
      </c>
      <c r="E125" s="138">
        <v>3306</v>
      </c>
      <c r="F125" s="136" t="s">
        <v>137</v>
      </c>
      <c r="G125" s="136" t="s">
        <v>324</v>
      </c>
      <c r="H125" s="136" t="s">
        <v>278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2955130</v>
      </c>
      <c r="S125" s="139">
        <v>274890</v>
      </c>
      <c r="T125" s="139">
        <v>274891</v>
      </c>
      <c r="U125" s="139">
        <f>SUM(I125:T125)</f>
        <v>3504911</v>
      </c>
      <c r="V125" s="145">
        <v>0</v>
      </c>
      <c r="W125" s="145">
        <v>1</v>
      </c>
      <c r="X125" s="131">
        <f t="shared" si="44"/>
        <v>0</v>
      </c>
      <c r="Y125" s="131">
        <f t="shared" si="45"/>
        <v>3504911</v>
      </c>
      <c r="Z125" s="217">
        <f>IF(X125&gt;'Major critera'!$B$4,X125,0)</f>
        <v>0</v>
      </c>
      <c r="AA125" s="217">
        <f>IF(Y125&gt;'Major critera'!$C$4,Y125,0)</f>
        <v>3504911</v>
      </c>
    </row>
    <row r="126" spans="1:27" outlineLevel="1">
      <c r="A126" s="136"/>
      <c r="B126" s="136"/>
      <c r="C126" s="154" t="s">
        <v>296</v>
      </c>
      <c r="D126" s="137"/>
      <c r="E126" s="138"/>
      <c r="F126" s="136"/>
      <c r="G126" s="136"/>
      <c r="H126" s="136"/>
      <c r="I126" s="186">
        <f t="shared" ref="I126:U126" si="46">SUBTOTAL(9,I124:I125)</f>
        <v>0</v>
      </c>
      <c r="J126" s="186">
        <f t="shared" si="46"/>
        <v>0</v>
      </c>
      <c r="K126" s="186">
        <f t="shared" si="46"/>
        <v>0</v>
      </c>
      <c r="L126" s="186">
        <f t="shared" si="46"/>
        <v>0</v>
      </c>
      <c r="M126" s="186">
        <f t="shared" si="46"/>
        <v>0</v>
      </c>
      <c r="N126" s="186">
        <f t="shared" si="46"/>
        <v>0</v>
      </c>
      <c r="O126" s="186">
        <f t="shared" si="46"/>
        <v>0</v>
      </c>
      <c r="P126" s="186">
        <f t="shared" si="46"/>
        <v>0</v>
      </c>
      <c r="Q126" s="186">
        <f t="shared" si="46"/>
        <v>0</v>
      </c>
      <c r="R126" s="186">
        <f t="shared" si="46"/>
        <v>2955130</v>
      </c>
      <c r="S126" s="186">
        <f t="shared" si="46"/>
        <v>274890</v>
      </c>
      <c r="T126" s="186">
        <f t="shared" si="46"/>
        <v>274891</v>
      </c>
      <c r="U126" s="186">
        <f t="shared" si="46"/>
        <v>3504911</v>
      </c>
      <c r="X126" s="131"/>
      <c r="Y126" s="131"/>
    </row>
    <row r="127" spans="1:27">
      <c r="A127" s="136"/>
      <c r="B127" s="136"/>
      <c r="C127" s="154" t="s">
        <v>126</v>
      </c>
      <c r="D127" s="137"/>
      <c r="E127" s="138"/>
      <c r="F127" s="136"/>
      <c r="G127" s="136"/>
      <c r="H127" s="136"/>
      <c r="I127" s="186">
        <f t="shared" ref="I127:U127" si="47">SUBTOTAL(9,I99:I125)</f>
        <v>2526411.6159999999</v>
      </c>
      <c r="J127" s="186">
        <f t="shared" si="47"/>
        <v>2198599.1680000001</v>
      </c>
      <c r="K127" s="186">
        <f t="shared" si="47"/>
        <v>2490800.3200000003</v>
      </c>
      <c r="L127" s="186">
        <f t="shared" si="47"/>
        <v>2906304.6159999999</v>
      </c>
      <c r="M127" s="186">
        <f t="shared" si="47"/>
        <v>3344631.1680000001</v>
      </c>
      <c r="N127" s="186">
        <f t="shared" si="47"/>
        <v>3472719.3200000003</v>
      </c>
      <c r="O127" s="186">
        <f t="shared" si="47"/>
        <v>3594981.6159999999</v>
      </c>
      <c r="P127" s="186">
        <f t="shared" si="47"/>
        <v>3646051.1680000001</v>
      </c>
      <c r="Q127" s="186">
        <f t="shared" si="47"/>
        <v>3661825.3200000003</v>
      </c>
      <c r="R127" s="186">
        <f t="shared" si="47"/>
        <v>8189002.6160000004</v>
      </c>
      <c r="S127" s="186">
        <f t="shared" si="47"/>
        <v>8185661.1679999996</v>
      </c>
      <c r="T127" s="186">
        <f t="shared" si="47"/>
        <v>4801247.7439999999</v>
      </c>
      <c r="U127" s="186">
        <f t="shared" si="47"/>
        <v>49018235.840000004</v>
      </c>
    </row>
    <row r="128" spans="1:27" outlineLevel="1">
      <c r="A128" s="136"/>
      <c r="B128" s="136"/>
      <c r="C128" s="136"/>
      <c r="D128" s="137"/>
      <c r="E128" s="138"/>
      <c r="F128" s="136"/>
      <c r="G128" s="136"/>
      <c r="H128" s="136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</row>
    <row r="129" spans="1:27" outlineLevel="2">
      <c r="A129" s="136" t="s">
        <v>240</v>
      </c>
      <c r="B129" s="136" t="s">
        <v>202</v>
      </c>
      <c r="C129" s="136" t="s">
        <v>41</v>
      </c>
      <c r="D129" s="137" t="s">
        <v>76</v>
      </c>
      <c r="E129" s="138">
        <v>7201</v>
      </c>
      <c r="F129" s="136" t="s">
        <v>142</v>
      </c>
      <c r="G129" s="136" t="s">
        <v>76</v>
      </c>
      <c r="H129" s="136" t="s">
        <v>276</v>
      </c>
      <c r="I129" s="139">
        <v>53333</v>
      </c>
      <c r="J129" s="139">
        <v>26666</v>
      </c>
      <c r="K129" s="139">
        <v>115000</v>
      </c>
      <c r="L129" s="139">
        <v>36667</v>
      </c>
      <c r="M129" s="139">
        <v>111667</v>
      </c>
      <c r="N129" s="139">
        <v>377766</v>
      </c>
      <c r="O129" s="139">
        <v>324100</v>
      </c>
      <c r="P129" s="139">
        <v>231100</v>
      </c>
      <c r="Q129" s="139">
        <v>3334</v>
      </c>
      <c r="R129" s="139">
        <v>36667</v>
      </c>
      <c r="S129" s="139">
        <v>36667</v>
      </c>
      <c r="T129" s="139">
        <v>3333</v>
      </c>
      <c r="U129" s="139">
        <f>SUM(I129:T129)</f>
        <v>1356300</v>
      </c>
      <c r="V129" s="145">
        <v>0</v>
      </c>
      <c r="W129" s="145">
        <f>'CAP15.1-Allocations'!C377*'CAP15.1-Allocations'!C375</f>
        <v>0.496141942</v>
      </c>
      <c r="X129" s="131">
        <f t="shared" ref="X129" si="48">U129*V129</f>
        <v>0</v>
      </c>
      <c r="Y129" s="131">
        <f t="shared" ref="Y129" si="49">W129*U129</f>
        <v>672917.31593459996</v>
      </c>
      <c r="Z129" s="215">
        <f>IF(X129&gt;'Major critera'!$B$4,X129,0)</f>
        <v>0</v>
      </c>
      <c r="AA129" s="215">
        <f>IF(Y129&gt;'Major critera'!$C$4,Y129,0)</f>
        <v>0</v>
      </c>
    </row>
    <row r="130" spans="1:27" outlineLevel="1">
      <c r="A130" s="154" t="s">
        <v>289</v>
      </c>
      <c r="B130" s="136"/>
      <c r="C130" s="136"/>
      <c r="D130" s="137"/>
      <c r="E130" s="138"/>
      <c r="F130" s="136"/>
      <c r="G130" s="136"/>
      <c r="H130" s="136"/>
      <c r="I130" s="186">
        <f t="shared" ref="I130:U130" si="50">SUBTOTAL(9,I129:I129)</f>
        <v>53333</v>
      </c>
      <c r="J130" s="186">
        <f t="shared" si="50"/>
        <v>26666</v>
      </c>
      <c r="K130" s="186">
        <f t="shared" si="50"/>
        <v>115000</v>
      </c>
      <c r="L130" s="186">
        <f t="shared" si="50"/>
        <v>36667</v>
      </c>
      <c r="M130" s="186">
        <f t="shared" si="50"/>
        <v>111667</v>
      </c>
      <c r="N130" s="186">
        <f t="shared" si="50"/>
        <v>377766</v>
      </c>
      <c r="O130" s="186">
        <f t="shared" si="50"/>
        <v>324100</v>
      </c>
      <c r="P130" s="186">
        <f t="shared" si="50"/>
        <v>231100</v>
      </c>
      <c r="Q130" s="186">
        <f t="shared" si="50"/>
        <v>3334</v>
      </c>
      <c r="R130" s="186">
        <f t="shared" si="50"/>
        <v>36667</v>
      </c>
      <c r="S130" s="186">
        <f t="shared" si="50"/>
        <v>36667</v>
      </c>
      <c r="T130" s="186">
        <f t="shared" si="50"/>
        <v>3333</v>
      </c>
      <c r="U130" s="186">
        <f t="shared" si="50"/>
        <v>1356300</v>
      </c>
    </row>
    <row r="131" spans="1:27">
      <c r="A131" s="136"/>
      <c r="B131" s="136"/>
      <c r="C131" s="136"/>
      <c r="D131" s="137"/>
      <c r="E131" s="138"/>
      <c r="F131" s="136"/>
      <c r="G131" s="136"/>
      <c r="H131" s="136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</row>
    <row r="132" spans="1:27">
      <c r="A132" s="136" t="s">
        <v>236</v>
      </c>
      <c r="B132" s="136" t="s">
        <v>203</v>
      </c>
      <c r="C132" s="136" t="s">
        <v>41</v>
      </c>
      <c r="D132" s="137" t="s">
        <v>455</v>
      </c>
      <c r="E132" s="138">
        <v>2277</v>
      </c>
      <c r="F132" s="136" t="s">
        <v>143</v>
      </c>
      <c r="G132" s="136" t="s">
        <v>244</v>
      </c>
      <c r="H132" s="136" t="s">
        <v>276</v>
      </c>
      <c r="I132" s="139">
        <v>84999</v>
      </c>
      <c r="J132" s="139">
        <v>84999</v>
      </c>
      <c r="K132" s="139">
        <v>85000</v>
      </c>
      <c r="L132" s="139">
        <v>84999</v>
      </c>
      <c r="M132" s="139">
        <v>84999</v>
      </c>
      <c r="N132" s="139">
        <v>85000</v>
      </c>
      <c r="O132" s="139">
        <v>84999</v>
      </c>
      <c r="P132" s="139">
        <v>84999</v>
      </c>
      <c r="Q132" s="139">
        <v>85000</v>
      </c>
      <c r="R132" s="139">
        <v>84999</v>
      </c>
      <c r="S132" s="139">
        <v>84999</v>
      </c>
      <c r="T132" s="139">
        <v>85007</v>
      </c>
      <c r="U132" s="139">
        <f t="shared" ref="U132:U144" si="51">SUM(I132:T132)</f>
        <v>1019999</v>
      </c>
      <c r="V132" s="145">
        <f>'CAP15.1-Allocations'!$C$366*'CAP15.1-Allocations'!$C$365</f>
        <v>0.482469333</v>
      </c>
      <c r="W132" s="145">
        <f>'CAP15.1-Allocations'!$D$366*'CAP15.1-Allocations'!$C$375</f>
        <v>0.14308510700000002</v>
      </c>
      <c r="X132" s="131">
        <f t="shared" ref="X132:X144" si="52">U132*V132</f>
        <v>492118.23719066702</v>
      </c>
      <c r="Y132" s="131">
        <f t="shared" ref="Y132:Y144" si="53">W132*U132</f>
        <v>145946.66605489302</v>
      </c>
      <c r="Z132" s="217">
        <f>IF(X132&gt;'Major critera'!$B$4,X132,0)</f>
        <v>0</v>
      </c>
      <c r="AA132" s="217">
        <f>IF(Y132&gt;'Major critera'!$C$4,Y132,0)</f>
        <v>0</v>
      </c>
    </row>
    <row r="133" spans="1:27" outlineLevel="2">
      <c r="A133" s="136" t="s">
        <v>236</v>
      </c>
      <c r="B133" s="136" t="s">
        <v>203</v>
      </c>
      <c r="C133" s="136" t="s">
        <v>41</v>
      </c>
      <c r="D133" s="137" t="s">
        <v>456</v>
      </c>
      <c r="E133" s="138">
        <v>5014</v>
      </c>
      <c r="F133" s="136" t="s">
        <v>140</v>
      </c>
      <c r="G133" s="136" t="s">
        <v>235</v>
      </c>
      <c r="H133" s="136" t="s">
        <v>276</v>
      </c>
      <c r="I133" s="139">
        <v>0</v>
      </c>
      <c r="J133" s="139">
        <v>0</v>
      </c>
      <c r="K133" s="139">
        <v>950000</v>
      </c>
      <c r="L133" s="139">
        <v>0</v>
      </c>
      <c r="M133" s="139">
        <v>0</v>
      </c>
      <c r="N133" s="139">
        <v>950000</v>
      </c>
      <c r="O133" s="139">
        <v>0</v>
      </c>
      <c r="P133" s="139">
        <v>0</v>
      </c>
      <c r="Q133" s="139">
        <v>950000</v>
      </c>
      <c r="R133" s="139">
        <v>0</v>
      </c>
      <c r="S133" s="139">
        <v>0</v>
      </c>
      <c r="T133" s="139">
        <v>950000</v>
      </c>
      <c r="U133" s="139">
        <f t="shared" si="51"/>
        <v>3800000</v>
      </c>
      <c r="V133" s="145">
        <f>'CAP15.1-Allocations'!$C$366*'CAP15.1-Allocations'!$C$365</f>
        <v>0.482469333</v>
      </c>
      <c r="W133" s="145">
        <f>'CAP15.1-Allocations'!$D$366*'CAP15.1-Allocations'!$C$375</f>
        <v>0.14308510700000002</v>
      </c>
      <c r="X133" s="131">
        <f t="shared" si="52"/>
        <v>1833383.4654000001</v>
      </c>
      <c r="Y133" s="131">
        <f t="shared" si="53"/>
        <v>543723.4066000001</v>
      </c>
      <c r="Z133" s="217">
        <f>IF(X133&gt;'Major critera'!$B$4,X133,0)</f>
        <v>0</v>
      </c>
      <c r="AA133" s="217">
        <f>IF(Y133&gt;'Major critera'!$C$4,Y133,0)</f>
        <v>0</v>
      </c>
    </row>
    <row r="134" spans="1:27" outlineLevel="2">
      <c r="A134" s="136" t="s">
        <v>236</v>
      </c>
      <c r="B134" s="136" t="s">
        <v>203</v>
      </c>
      <c r="C134" s="136" t="s">
        <v>41</v>
      </c>
      <c r="D134" s="137" t="s">
        <v>457</v>
      </c>
      <c r="E134" s="138">
        <v>5121</v>
      </c>
      <c r="F134" s="136" t="s">
        <v>140</v>
      </c>
      <c r="G134" s="136" t="s">
        <v>141</v>
      </c>
      <c r="H134" s="136" t="s">
        <v>278</v>
      </c>
      <c r="I134" s="139">
        <v>0</v>
      </c>
      <c r="J134" s="139">
        <v>0</v>
      </c>
      <c r="K134" s="139">
        <v>590670</v>
      </c>
      <c r="L134" s="139">
        <v>0</v>
      </c>
      <c r="M134" s="139">
        <v>0</v>
      </c>
      <c r="N134" s="139">
        <v>590670</v>
      </c>
      <c r="O134" s="139">
        <v>0</v>
      </c>
      <c r="P134" s="139">
        <v>0</v>
      </c>
      <c r="Q134" s="139">
        <v>590670</v>
      </c>
      <c r="R134" s="139">
        <v>0</v>
      </c>
      <c r="S134" s="139">
        <v>0</v>
      </c>
      <c r="T134" s="139">
        <v>590670</v>
      </c>
      <c r="U134" s="139">
        <f t="shared" si="51"/>
        <v>2362680</v>
      </c>
      <c r="V134" s="145">
        <f>'CAP15.1-Allocations'!$C$366*'CAP15.1-Allocations'!$C$365</f>
        <v>0.482469333</v>
      </c>
      <c r="W134" s="145">
        <f>'CAP15.1-Allocations'!$D$366*'CAP15.1-Allocations'!$C$375</f>
        <v>0.14308510700000002</v>
      </c>
      <c r="X134" s="131">
        <f t="shared" si="52"/>
        <v>1139920.6436924399</v>
      </c>
      <c r="Y134" s="131">
        <f t="shared" si="53"/>
        <v>338064.32060676004</v>
      </c>
      <c r="Z134" s="217">
        <f>IF(X134&gt;'Major critera'!$B$4,X134,0)</f>
        <v>0</v>
      </c>
      <c r="AA134" s="217">
        <f>IF(Y134&gt;'Major critera'!$C$4,Y134,0)</f>
        <v>0</v>
      </c>
    </row>
    <row r="135" spans="1:27" outlineLevel="2">
      <c r="A135" s="136" t="s">
        <v>236</v>
      </c>
      <c r="B135" s="136" t="s">
        <v>203</v>
      </c>
      <c r="C135" s="136" t="s">
        <v>41</v>
      </c>
      <c r="D135" s="137" t="s">
        <v>458</v>
      </c>
      <c r="E135" s="138">
        <v>5146</v>
      </c>
      <c r="F135" s="136" t="s">
        <v>140</v>
      </c>
      <c r="G135" s="136" t="s">
        <v>335</v>
      </c>
      <c r="H135" s="136" t="s">
        <v>278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39">
        <v>0</v>
      </c>
      <c r="R135" s="139">
        <v>0</v>
      </c>
      <c r="S135" s="139">
        <v>0</v>
      </c>
      <c r="T135" s="139">
        <v>0</v>
      </c>
      <c r="U135" s="139">
        <f t="shared" si="51"/>
        <v>0</v>
      </c>
      <c r="V135" s="145">
        <f>'CAP15.1-Allocations'!$C$366*'CAP15.1-Allocations'!$C$365</f>
        <v>0.482469333</v>
      </c>
      <c r="W135" s="145">
        <f>'CAP15.1-Allocations'!$D$366*'CAP15.1-Allocations'!$C$375</f>
        <v>0.14308510700000002</v>
      </c>
      <c r="X135" s="131">
        <f t="shared" si="52"/>
        <v>0</v>
      </c>
      <c r="Y135" s="131">
        <f t="shared" si="53"/>
        <v>0</v>
      </c>
      <c r="Z135" s="217">
        <f>IF(X135&gt;'Major critera'!$B$4,X135,0)</f>
        <v>0</v>
      </c>
      <c r="AA135" s="217">
        <f>IF(Y135&gt;'Major critera'!$C$4,Y135,0)</f>
        <v>0</v>
      </c>
    </row>
    <row r="136" spans="1:27" outlineLevel="2">
      <c r="A136" s="136" t="s">
        <v>236</v>
      </c>
      <c r="B136" s="136" t="s">
        <v>203</v>
      </c>
      <c r="C136" s="136" t="s">
        <v>41</v>
      </c>
      <c r="D136" s="137" t="s">
        <v>459</v>
      </c>
      <c r="E136" s="138">
        <v>7001</v>
      </c>
      <c r="F136" s="136" t="s">
        <v>142</v>
      </c>
      <c r="G136" s="136" t="s">
        <v>70</v>
      </c>
      <c r="H136" s="136" t="s">
        <v>276</v>
      </c>
      <c r="I136" s="139">
        <v>289245</v>
      </c>
      <c r="J136" s="139">
        <v>282705</v>
      </c>
      <c r="K136" s="139">
        <v>281680</v>
      </c>
      <c r="L136" s="139">
        <v>282437</v>
      </c>
      <c r="M136" s="139">
        <v>283087</v>
      </c>
      <c r="N136" s="139">
        <v>281795</v>
      </c>
      <c r="O136" s="139">
        <v>289361</v>
      </c>
      <c r="P136" s="139">
        <v>281080</v>
      </c>
      <c r="Q136" s="139">
        <v>281550</v>
      </c>
      <c r="R136" s="139">
        <v>282873</v>
      </c>
      <c r="S136" s="139">
        <v>283081</v>
      </c>
      <c r="T136" s="139">
        <v>281106</v>
      </c>
      <c r="U136" s="139">
        <f t="shared" si="51"/>
        <v>3400000</v>
      </c>
      <c r="V136" s="145">
        <f>'CAP15.1-Allocations'!$C$366*'CAP15.1-Allocations'!$C$365</f>
        <v>0.482469333</v>
      </c>
      <c r="W136" s="145">
        <f>'CAP15.1-Allocations'!$D$366*'CAP15.1-Allocations'!$C$375</f>
        <v>0.14308510700000002</v>
      </c>
      <c r="X136" s="131">
        <f t="shared" si="52"/>
        <v>1640395.7322</v>
      </c>
      <c r="Y136" s="131">
        <f t="shared" si="53"/>
        <v>486489.36380000005</v>
      </c>
      <c r="Z136" s="217">
        <f>IF(X136&gt;'Major critera'!$B$4,X136,0)</f>
        <v>0</v>
      </c>
      <c r="AA136" s="217">
        <f>IF(Y136&gt;'Major critera'!$C$4,Y136,0)</f>
        <v>0</v>
      </c>
    </row>
    <row r="137" spans="1:27" outlineLevel="2">
      <c r="A137" s="136" t="s">
        <v>236</v>
      </c>
      <c r="B137" s="136" t="s">
        <v>203</v>
      </c>
      <c r="C137" s="136" t="s">
        <v>41</v>
      </c>
      <c r="D137" s="137" t="s">
        <v>460</v>
      </c>
      <c r="E137" s="138">
        <v>7002</v>
      </c>
      <c r="F137" s="136" t="s">
        <v>142</v>
      </c>
      <c r="G137" s="136" t="s">
        <v>339</v>
      </c>
      <c r="H137" s="136" t="s">
        <v>278</v>
      </c>
      <c r="I137" s="139">
        <v>0</v>
      </c>
      <c r="J137" s="139">
        <v>0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0</v>
      </c>
      <c r="S137" s="139">
        <v>0</v>
      </c>
      <c r="T137" s="139">
        <v>0</v>
      </c>
      <c r="U137" s="139">
        <f t="shared" si="51"/>
        <v>0</v>
      </c>
      <c r="V137" s="145">
        <f>'CAP15.1-Allocations'!$C$366*'CAP15.1-Allocations'!$C$365</f>
        <v>0.482469333</v>
      </c>
      <c r="W137" s="145">
        <f>'CAP15.1-Allocations'!$D$366*'CAP15.1-Allocations'!$C$375</f>
        <v>0.14308510700000002</v>
      </c>
      <c r="X137" s="131">
        <f t="shared" si="52"/>
        <v>0</v>
      </c>
      <c r="Y137" s="131">
        <f t="shared" si="53"/>
        <v>0</v>
      </c>
      <c r="Z137" s="217">
        <f>IF(X137&gt;'Major critera'!$B$4,X137,0)</f>
        <v>0</v>
      </c>
      <c r="AA137" s="217">
        <f>IF(Y137&gt;'Major critera'!$C$4,Y137,0)</f>
        <v>0</v>
      </c>
    </row>
    <row r="138" spans="1:27" outlineLevel="2">
      <c r="A138" s="136" t="s">
        <v>236</v>
      </c>
      <c r="B138" s="136" t="s">
        <v>203</v>
      </c>
      <c r="C138" s="136" t="s">
        <v>41</v>
      </c>
      <c r="D138" s="137" t="s">
        <v>459</v>
      </c>
      <c r="E138" s="138">
        <v>7003</v>
      </c>
      <c r="F138" s="136" t="s">
        <v>142</v>
      </c>
      <c r="G138" s="136" t="s">
        <v>71</v>
      </c>
      <c r="H138" s="136" t="s">
        <v>276</v>
      </c>
      <c r="I138" s="139">
        <v>101189</v>
      </c>
      <c r="J138" s="139">
        <v>99862</v>
      </c>
      <c r="K138" s="139">
        <v>99734</v>
      </c>
      <c r="L138" s="139">
        <v>99846</v>
      </c>
      <c r="M138" s="139">
        <v>99940</v>
      </c>
      <c r="N138" s="139">
        <v>99678</v>
      </c>
      <c r="O138" s="139">
        <v>101213</v>
      </c>
      <c r="P138" s="139">
        <v>99533</v>
      </c>
      <c r="Q138" s="139">
        <v>99629</v>
      </c>
      <c r="R138" s="139">
        <v>99896</v>
      </c>
      <c r="S138" s="139">
        <v>99939</v>
      </c>
      <c r="T138" s="139">
        <v>99541</v>
      </c>
      <c r="U138" s="139">
        <f t="shared" si="51"/>
        <v>1200000</v>
      </c>
      <c r="V138" s="145">
        <f>'CAP15.1-Allocations'!$C$366*'CAP15.1-Allocations'!$C$365</f>
        <v>0.482469333</v>
      </c>
      <c r="W138" s="145">
        <f>'CAP15.1-Allocations'!$D$366*'CAP15.1-Allocations'!$C$375</f>
        <v>0.14308510700000002</v>
      </c>
      <c r="X138" s="131">
        <f t="shared" si="52"/>
        <v>578963.19960000005</v>
      </c>
      <c r="Y138" s="131">
        <f t="shared" si="53"/>
        <v>171702.12840000002</v>
      </c>
      <c r="Z138" s="217">
        <f>IF(X138&gt;'Major critera'!$B$4,X138,0)</f>
        <v>0</v>
      </c>
      <c r="AA138" s="217">
        <f>IF(Y138&gt;'Major critera'!$C$4,Y138,0)</f>
        <v>0</v>
      </c>
    </row>
    <row r="139" spans="1:27" outlineLevel="2">
      <c r="A139" s="136" t="s">
        <v>236</v>
      </c>
      <c r="B139" s="136" t="s">
        <v>203</v>
      </c>
      <c r="C139" s="136" t="s">
        <v>41</v>
      </c>
      <c r="D139" s="137" t="s">
        <v>460</v>
      </c>
      <c r="E139" s="138">
        <v>7005</v>
      </c>
      <c r="F139" s="136" t="s">
        <v>142</v>
      </c>
      <c r="G139" s="136" t="s">
        <v>72</v>
      </c>
      <c r="H139" s="136" t="s">
        <v>276</v>
      </c>
      <c r="I139" s="139">
        <v>54027</v>
      </c>
      <c r="J139" s="139">
        <v>54027</v>
      </c>
      <c r="K139" s="139">
        <v>54028</v>
      </c>
      <c r="L139" s="139">
        <v>54027</v>
      </c>
      <c r="M139" s="139">
        <v>54027</v>
      </c>
      <c r="N139" s="139">
        <v>54028</v>
      </c>
      <c r="O139" s="139">
        <v>54027</v>
      </c>
      <c r="P139" s="139">
        <v>54027</v>
      </c>
      <c r="Q139" s="139">
        <v>54028</v>
      </c>
      <c r="R139" s="139">
        <v>54027</v>
      </c>
      <c r="S139" s="139">
        <v>54027</v>
      </c>
      <c r="T139" s="139">
        <v>54025</v>
      </c>
      <c r="U139" s="139">
        <f t="shared" si="51"/>
        <v>648325</v>
      </c>
      <c r="V139" s="145">
        <f>'CAP15.1-Allocations'!$C$366*'CAP15.1-Allocations'!$C$365</f>
        <v>0.482469333</v>
      </c>
      <c r="W139" s="145">
        <f>'CAP15.1-Allocations'!$D$366*'CAP15.1-Allocations'!$C$375</f>
        <v>0.14308510700000002</v>
      </c>
      <c r="X139" s="131">
        <f t="shared" si="52"/>
        <v>312796.93031722499</v>
      </c>
      <c r="Y139" s="131">
        <f t="shared" si="53"/>
        <v>92765.651995775013</v>
      </c>
      <c r="Z139" s="217">
        <f>IF(X139&gt;'Major critera'!$B$4,X139,0)</f>
        <v>0</v>
      </c>
      <c r="AA139" s="217">
        <f>IF(Y139&gt;'Major critera'!$C$4,Y139,0)</f>
        <v>0</v>
      </c>
    </row>
    <row r="140" spans="1:27" outlineLevel="2">
      <c r="A140" s="136" t="s">
        <v>236</v>
      </c>
      <c r="B140" s="136" t="s">
        <v>203</v>
      </c>
      <c r="C140" s="136" t="s">
        <v>41</v>
      </c>
      <c r="D140" s="137" t="s">
        <v>460</v>
      </c>
      <c r="E140" s="138">
        <v>7006</v>
      </c>
      <c r="F140" s="136" t="s">
        <v>142</v>
      </c>
      <c r="G140" s="136" t="s">
        <v>73</v>
      </c>
      <c r="H140" s="136" t="s">
        <v>276</v>
      </c>
      <c r="I140" s="139">
        <v>283334</v>
      </c>
      <c r="J140" s="139">
        <v>283334</v>
      </c>
      <c r="K140" s="139">
        <v>283332</v>
      </c>
      <c r="L140" s="139">
        <v>0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283334</v>
      </c>
      <c r="S140" s="139">
        <v>283334</v>
      </c>
      <c r="T140" s="139">
        <v>283332</v>
      </c>
      <c r="U140" s="139">
        <f t="shared" si="51"/>
        <v>1700000</v>
      </c>
      <c r="V140" s="145">
        <f>'CAP15.1-Allocations'!$C$366*'CAP15.1-Allocations'!$C$365</f>
        <v>0.482469333</v>
      </c>
      <c r="W140" s="145">
        <f>'CAP15.1-Allocations'!$D$366*'CAP15.1-Allocations'!$C$375</f>
        <v>0.14308510700000002</v>
      </c>
      <c r="X140" s="131">
        <f t="shared" si="52"/>
        <v>820197.86609999998</v>
      </c>
      <c r="Y140" s="131">
        <f t="shared" si="53"/>
        <v>243244.68190000003</v>
      </c>
      <c r="Z140" s="217">
        <f>IF(X140&gt;'Major critera'!$B$4,X140,0)</f>
        <v>0</v>
      </c>
      <c r="AA140" s="217">
        <f>IF(Y140&gt;'Major critera'!$C$4,Y140,0)</f>
        <v>0</v>
      </c>
    </row>
    <row r="141" spans="1:27" outlineLevel="2">
      <c r="A141" s="136" t="s">
        <v>236</v>
      </c>
      <c r="B141" s="136" t="s">
        <v>203</v>
      </c>
      <c r="C141" s="136" t="s">
        <v>41</v>
      </c>
      <c r="D141" s="137" t="s">
        <v>340</v>
      </c>
      <c r="E141" s="138">
        <v>7060</v>
      </c>
      <c r="F141" s="136" t="s">
        <v>142</v>
      </c>
      <c r="G141" s="136" t="s">
        <v>340</v>
      </c>
      <c r="H141" s="136" t="s">
        <v>341</v>
      </c>
      <c r="I141" s="139">
        <v>171873</v>
      </c>
      <c r="J141" s="139">
        <v>171873</v>
      </c>
      <c r="K141" s="139">
        <v>171875</v>
      </c>
      <c r="L141" s="139">
        <v>171873</v>
      </c>
      <c r="M141" s="139">
        <v>171873</v>
      </c>
      <c r="N141" s="139">
        <v>171875</v>
      </c>
      <c r="O141" s="139">
        <v>171873</v>
      </c>
      <c r="P141" s="139">
        <v>171873</v>
      </c>
      <c r="Q141" s="139">
        <v>171875</v>
      </c>
      <c r="R141" s="139">
        <v>171873</v>
      </c>
      <c r="S141" s="139">
        <v>171873</v>
      </c>
      <c r="T141" s="139">
        <v>171875</v>
      </c>
      <c r="U141" s="139">
        <f t="shared" si="51"/>
        <v>2062484</v>
      </c>
      <c r="V141" s="145">
        <f>'CAP15.1-Allocations'!$C$366*'CAP15.1-Allocations'!$C$365</f>
        <v>0.482469333</v>
      </c>
      <c r="W141" s="145">
        <f>'CAP15.1-Allocations'!$D$366*'CAP15.1-Allocations'!$C$375</f>
        <v>0.14308510700000002</v>
      </c>
      <c r="X141" s="131">
        <f t="shared" si="52"/>
        <v>995085.27980317199</v>
      </c>
      <c r="Y141" s="131">
        <f t="shared" si="53"/>
        <v>295110.74382578803</v>
      </c>
      <c r="Z141" s="217">
        <f>IF(X141&gt;'Major critera'!$B$4,X141,0)</f>
        <v>0</v>
      </c>
      <c r="AA141" s="217">
        <f>IF(Y141&gt;'Major critera'!$C$4,Y141,0)</f>
        <v>0</v>
      </c>
    </row>
    <row r="142" spans="1:27" outlineLevel="2">
      <c r="A142" s="136" t="s">
        <v>236</v>
      </c>
      <c r="B142" s="136" t="s">
        <v>203</v>
      </c>
      <c r="C142" s="136" t="s">
        <v>41</v>
      </c>
      <c r="D142" s="137" t="s">
        <v>461</v>
      </c>
      <c r="E142" s="138">
        <v>7101</v>
      </c>
      <c r="F142" s="136" t="s">
        <v>142</v>
      </c>
      <c r="G142" s="136" t="s">
        <v>303</v>
      </c>
      <c r="H142" s="136" t="s">
        <v>278</v>
      </c>
      <c r="I142" s="139">
        <v>0</v>
      </c>
      <c r="J142" s="139">
        <v>0</v>
      </c>
      <c r="K142" s="139">
        <v>0</v>
      </c>
      <c r="L142" s="139">
        <v>0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0</v>
      </c>
      <c r="S142" s="139">
        <v>0</v>
      </c>
      <c r="T142" s="139">
        <v>9250000</v>
      </c>
      <c r="U142" s="139">
        <f t="shared" si="51"/>
        <v>9250000</v>
      </c>
      <c r="V142" s="145">
        <f>'CAP15.1-Allocations'!$C$366*'CAP15.1-Allocations'!$C$365</f>
        <v>0.482469333</v>
      </c>
      <c r="W142" s="145">
        <f>'CAP15.1-Allocations'!$D$366*'CAP15.1-Allocations'!$C$375</f>
        <v>0.14308510700000002</v>
      </c>
      <c r="X142" s="131">
        <f t="shared" si="52"/>
        <v>4462841.3302499996</v>
      </c>
      <c r="Y142" s="131">
        <f t="shared" si="53"/>
        <v>1323537.2397500002</v>
      </c>
      <c r="Z142" s="217">
        <f>IF(X142&gt;'Major critera'!$B$4,X142,0)</f>
        <v>0</v>
      </c>
      <c r="AA142" s="217">
        <f>IF(Y142&gt;'Major critera'!$C$4,Y142,0)</f>
        <v>1323537.2397500002</v>
      </c>
    </row>
    <row r="143" spans="1:27" outlineLevel="2">
      <c r="A143" s="136" t="s">
        <v>236</v>
      </c>
      <c r="B143" s="136" t="s">
        <v>203</v>
      </c>
      <c r="C143" s="136" t="s">
        <v>41</v>
      </c>
      <c r="D143" s="137" t="s">
        <v>462</v>
      </c>
      <c r="E143" s="138">
        <v>7126</v>
      </c>
      <c r="F143" s="136" t="s">
        <v>142</v>
      </c>
      <c r="G143" s="136" t="s">
        <v>239</v>
      </c>
      <c r="H143" s="136" t="s">
        <v>278</v>
      </c>
      <c r="I143" s="139">
        <v>0</v>
      </c>
      <c r="J143" s="139">
        <v>0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0</v>
      </c>
      <c r="S143" s="139">
        <v>0</v>
      </c>
      <c r="T143" s="139">
        <v>8500000</v>
      </c>
      <c r="U143" s="139">
        <f t="shared" si="51"/>
        <v>8500000</v>
      </c>
      <c r="V143" s="145">
        <f>'CAP15.1-Allocations'!$C$366*'CAP15.1-Allocations'!$C$365</f>
        <v>0.482469333</v>
      </c>
      <c r="W143" s="145">
        <f>'CAP15.1-Allocations'!$D$366*'CAP15.1-Allocations'!$C$375</f>
        <v>0.14308510700000002</v>
      </c>
      <c r="X143" s="131">
        <f t="shared" si="52"/>
        <v>4100989.3305000002</v>
      </c>
      <c r="Y143" s="131">
        <f t="shared" si="53"/>
        <v>1216223.4095000001</v>
      </c>
      <c r="Z143" s="217">
        <f>IF(X143&gt;'Major critera'!$B$4,X143,0)</f>
        <v>0</v>
      </c>
      <c r="AA143" s="217">
        <f>IF(Y143&gt;'Major critera'!$C$4,Y143,0)</f>
        <v>0</v>
      </c>
    </row>
    <row r="144" spans="1:27" outlineLevel="2">
      <c r="A144" s="136" t="s">
        <v>236</v>
      </c>
      <c r="B144" s="136" t="s">
        <v>203</v>
      </c>
      <c r="C144" s="136" t="s">
        <v>41</v>
      </c>
      <c r="D144" s="137" t="s">
        <v>463</v>
      </c>
      <c r="E144" s="138">
        <v>7131</v>
      </c>
      <c r="F144" s="136" t="s">
        <v>142</v>
      </c>
      <c r="G144" s="136" t="s">
        <v>342</v>
      </c>
      <c r="H144" s="136" t="s">
        <v>278</v>
      </c>
      <c r="I144" s="139">
        <v>0</v>
      </c>
      <c r="J144" s="139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0</v>
      </c>
      <c r="S144" s="139">
        <v>0</v>
      </c>
      <c r="T144" s="139">
        <v>2000000</v>
      </c>
      <c r="U144" s="139">
        <f t="shared" si="51"/>
        <v>2000000</v>
      </c>
      <c r="V144" s="145">
        <f>'CAP15.1-Allocations'!$C$366*'CAP15.1-Allocations'!$C$365</f>
        <v>0.482469333</v>
      </c>
      <c r="W144" s="145">
        <f>'CAP15.1-Allocations'!$D$366*'CAP15.1-Allocations'!$C$375</f>
        <v>0.14308510700000002</v>
      </c>
      <c r="X144" s="131">
        <f t="shared" si="52"/>
        <v>964938.66599999997</v>
      </c>
      <c r="Y144" s="131">
        <f t="shared" si="53"/>
        <v>286170.21400000004</v>
      </c>
      <c r="Z144" s="217">
        <f>IF(X144&gt;'Major critera'!$B$4,X144,0)</f>
        <v>0</v>
      </c>
      <c r="AA144" s="217">
        <f>IF(Y144&gt;'Major critera'!$C$4,Y144,0)</f>
        <v>0</v>
      </c>
    </row>
    <row r="145" spans="1:27" outlineLevel="1">
      <c r="A145" s="136"/>
      <c r="B145" s="136"/>
      <c r="C145" s="155" t="s">
        <v>297</v>
      </c>
      <c r="D145" s="137"/>
      <c r="E145" s="138"/>
      <c r="F145" s="136"/>
      <c r="G145" s="136"/>
      <c r="H145" s="136"/>
      <c r="I145" s="186">
        <f t="shared" ref="I145:S145" si="54">SUBTOTAL(9,I132:I144)</f>
        <v>984667</v>
      </c>
      <c r="J145" s="186">
        <f t="shared" si="54"/>
        <v>976800</v>
      </c>
      <c r="K145" s="186">
        <f t="shared" si="54"/>
        <v>2516319</v>
      </c>
      <c r="L145" s="186">
        <f t="shared" si="54"/>
        <v>693182</v>
      </c>
      <c r="M145" s="186">
        <f t="shared" si="54"/>
        <v>693926</v>
      </c>
      <c r="N145" s="186">
        <f t="shared" si="54"/>
        <v>2233046</v>
      </c>
      <c r="O145" s="186">
        <f t="shared" si="54"/>
        <v>701473</v>
      </c>
      <c r="P145" s="186">
        <f t="shared" si="54"/>
        <v>691512</v>
      </c>
      <c r="Q145" s="186">
        <f t="shared" si="54"/>
        <v>2232752</v>
      </c>
      <c r="R145" s="186">
        <f t="shared" si="54"/>
        <v>977002</v>
      </c>
      <c r="S145" s="186">
        <f t="shared" si="54"/>
        <v>977253</v>
      </c>
      <c r="T145" s="186">
        <f>SUBTOTAL(9,T132:T144)</f>
        <v>22265556</v>
      </c>
      <c r="U145" s="186">
        <f>SUBTOTAL(9,U132:U144)</f>
        <v>35943488</v>
      </c>
    </row>
    <row r="146" spans="1:27" outlineLevel="2">
      <c r="A146" s="136" t="s">
        <v>236</v>
      </c>
      <c r="B146" s="136" t="s">
        <v>203</v>
      </c>
      <c r="C146" s="136" t="s">
        <v>40</v>
      </c>
      <c r="D146" s="137" t="s">
        <v>464</v>
      </c>
      <c r="E146" s="138">
        <v>5106</v>
      </c>
      <c r="F146" s="136" t="s">
        <v>140</v>
      </c>
      <c r="G146" s="136" t="s">
        <v>63</v>
      </c>
      <c r="H146" s="136" t="s">
        <v>277</v>
      </c>
      <c r="I146" s="139">
        <v>0</v>
      </c>
      <c r="J146" s="139">
        <v>0</v>
      </c>
      <c r="K146" s="139">
        <v>0</v>
      </c>
      <c r="L146" s="139">
        <v>2741974</v>
      </c>
      <c r="M146" s="139">
        <v>0</v>
      </c>
      <c r="N146" s="139">
        <v>0</v>
      </c>
      <c r="O146" s="139">
        <v>0</v>
      </c>
      <c r="P146" s="139">
        <v>1458026</v>
      </c>
      <c r="Q146" s="139">
        <v>0</v>
      </c>
      <c r="R146" s="139">
        <v>0</v>
      </c>
      <c r="S146" s="139">
        <v>0</v>
      </c>
      <c r="T146" s="139">
        <v>0</v>
      </c>
      <c r="U146" s="139">
        <f>SUM(I146:T146)</f>
        <v>4200000</v>
      </c>
      <c r="V146" s="145">
        <f>'CAP15.1-Allocations'!$C$367*'CAP15.1-Allocations'!$C$365</f>
        <v>0.53221869570000002</v>
      </c>
      <c r="W146" s="145">
        <f>'CAP15.1-Allocations'!$D$367*'CAP15.1-Allocations'!$D$374</f>
        <v>7.4797082099999995E-2</v>
      </c>
      <c r="X146" s="131">
        <f t="shared" ref="X146" si="55">U146*V146</f>
        <v>2235318.5219399999</v>
      </c>
      <c r="Y146" s="131">
        <f t="shared" ref="Y146" si="56">W146*U146</f>
        <v>314147.74481999996</v>
      </c>
      <c r="Z146" s="215">
        <f>IF(X146&gt;'Major critera'!$B$4,X146,0)</f>
        <v>0</v>
      </c>
      <c r="AA146" s="215">
        <f>IF(Y146&gt;'Major critera'!$C$4,Y146,0)</f>
        <v>0</v>
      </c>
    </row>
    <row r="147" spans="1:27" outlineLevel="1">
      <c r="A147" s="136"/>
      <c r="B147" s="136"/>
      <c r="C147" s="154" t="s">
        <v>294</v>
      </c>
      <c r="D147" s="137"/>
      <c r="E147" s="138"/>
      <c r="F147" s="136"/>
      <c r="G147" s="136"/>
      <c r="H147" s="136"/>
      <c r="I147" s="186">
        <f t="shared" ref="I147:U147" si="57">SUBTOTAL(9,I146:I146)</f>
        <v>0</v>
      </c>
      <c r="J147" s="186">
        <f t="shared" si="57"/>
        <v>0</v>
      </c>
      <c r="K147" s="186">
        <f t="shared" si="57"/>
        <v>0</v>
      </c>
      <c r="L147" s="186">
        <f t="shared" si="57"/>
        <v>2741974</v>
      </c>
      <c r="M147" s="186">
        <f t="shared" si="57"/>
        <v>0</v>
      </c>
      <c r="N147" s="186">
        <f t="shared" si="57"/>
        <v>0</v>
      </c>
      <c r="O147" s="186">
        <f t="shared" si="57"/>
        <v>0</v>
      </c>
      <c r="P147" s="186">
        <f t="shared" si="57"/>
        <v>1458026</v>
      </c>
      <c r="Q147" s="186">
        <f t="shared" si="57"/>
        <v>0</v>
      </c>
      <c r="R147" s="186">
        <f t="shared" si="57"/>
        <v>0</v>
      </c>
      <c r="S147" s="186">
        <f t="shared" si="57"/>
        <v>0</v>
      </c>
      <c r="T147" s="186">
        <f t="shared" si="57"/>
        <v>0</v>
      </c>
      <c r="U147" s="186">
        <f t="shared" si="57"/>
        <v>4200000</v>
      </c>
    </row>
    <row r="148" spans="1:27" outlineLevel="2">
      <c r="A148" s="136" t="s">
        <v>236</v>
      </c>
      <c r="B148" s="136" t="s">
        <v>203</v>
      </c>
      <c r="C148" s="136" t="s">
        <v>46</v>
      </c>
      <c r="D148" s="137" t="s">
        <v>465</v>
      </c>
      <c r="E148" s="138">
        <v>7137</v>
      </c>
      <c r="F148" s="136" t="s">
        <v>142</v>
      </c>
      <c r="G148" s="136" t="s">
        <v>345</v>
      </c>
      <c r="H148" s="136" t="s">
        <v>278</v>
      </c>
      <c r="I148" s="139">
        <v>0</v>
      </c>
      <c r="J148" s="139">
        <v>0</v>
      </c>
      <c r="K148" s="139">
        <v>0</v>
      </c>
      <c r="L148" s="139">
        <v>0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0</v>
      </c>
      <c r="S148" s="139">
        <v>0</v>
      </c>
      <c r="T148" s="139">
        <v>500000</v>
      </c>
      <c r="U148" s="139">
        <f>SUM(I148:T148)</f>
        <v>500000</v>
      </c>
      <c r="V148" s="145">
        <v>0</v>
      </c>
      <c r="W148" s="145">
        <v>0</v>
      </c>
      <c r="X148" s="131">
        <f t="shared" ref="X148" si="58">U148*V148</f>
        <v>0</v>
      </c>
      <c r="Y148" s="131">
        <f t="shared" ref="Y148" si="59">W148*U148</f>
        <v>0</v>
      </c>
      <c r="Z148" s="215">
        <f>IF(X148&gt;'Major critera'!$B$4,X148,0)</f>
        <v>0</v>
      </c>
      <c r="AA148" s="215">
        <f>IF(Y148&gt;'Major critera'!$C$4,Y148,0)</f>
        <v>0</v>
      </c>
    </row>
    <row r="149" spans="1:27" outlineLevel="1">
      <c r="A149" s="136"/>
      <c r="B149" s="136"/>
      <c r="C149" s="154" t="s">
        <v>295</v>
      </c>
      <c r="D149" s="137"/>
      <c r="E149" s="138"/>
      <c r="F149" s="136"/>
      <c r="G149" s="136"/>
      <c r="H149" s="136"/>
      <c r="I149" s="186">
        <f t="shared" ref="I149:U149" si="60">SUBTOTAL(9,I148:I148)</f>
        <v>0</v>
      </c>
      <c r="J149" s="186">
        <f t="shared" si="60"/>
        <v>0</v>
      </c>
      <c r="K149" s="186">
        <f t="shared" si="60"/>
        <v>0</v>
      </c>
      <c r="L149" s="186">
        <f t="shared" si="60"/>
        <v>0</v>
      </c>
      <c r="M149" s="186">
        <f t="shared" si="60"/>
        <v>0</v>
      </c>
      <c r="N149" s="186">
        <f t="shared" si="60"/>
        <v>0</v>
      </c>
      <c r="O149" s="186">
        <f t="shared" si="60"/>
        <v>0</v>
      </c>
      <c r="P149" s="186">
        <f t="shared" si="60"/>
        <v>0</v>
      </c>
      <c r="Q149" s="186">
        <f t="shared" si="60"/>
        <v>0</v>
      </c>
      <c r="R149" s="186">
        <f t="shared" si="60"/>
        <v>0</v>
      </c>
      <c r="S149" s="186">
        <f t="shared" si="60"/>
        <v>0</v>
      </c>
      <c r="T149" s="186">
        <f t="shared" si="60"/>
        <v>500000</v>
      </c>
      <c r="U149" s="186">
        <f t="shared" si="60"/>
        <v>500000</v>
      </c>
    </row>
    <row r="150" spans="1:27" outlineLevel="2">
      <c r="A150" s="136" t="s">
        <v>236</v>
      </c>
      <c r="B150" s="136" t="s">
        <v>203</v>
      </c>
      <c r="C150" s="136" t="s">
        <v>39</v>
      </c>
      <c r="D150" s="137" t="s">
        <v>466</v>
      </c>
      <c r="E150" s="138">
        <v>6109</v>
      </c>
      <c r="F150" s="136" t="s">
        <v>143</v>
      </c>
      <c r="G150" s="136" t="s">
        <v>369</v>
      </c>
      <c r="H150" s="136" t="s">
        <v>278</v>
      </c>
      <c r="I150" s="139">
        <v>0</v>
      </c>
      <c r="J150" s="139">
        <v>0</v>
      </c>
      <c r="K150" s="139">
        <v>0</v>
      </c>
      <c r="L150" s="139">
        <v>0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0</v>
      </c>
      <c r="S150" s="139">
        <v>0</v>
      </c>
      <c r="T150" s="139">
        <v>0</v>
      </c>
      <c r="U150" s="139">
        <f>SUM(I150:T150)</f>
        <v>0</v>
      </c>
      <c r="V150" s="145">
        <f>'CAP15.1-Allocations'!$C$367</f>
        <v>0.78641000000000005</v>
      </c>
      <c r="W150" s="145">
        <f>'CAP15.1-Allocations'!$D$367</f>
        <v>0.21359</v>
      </c>
      <c r="X150" s="131">
        <f t="shared" ref="X150:X152" si="61">U150*V150</f>
        <v>0</v>
      </c>
      <c r="Y150" s="131">
        <f t="shared" ref="Y150:Y152" si="62">W150*U150</f>
        <v>0</v>
      </c>
      <c r="Z150" s="215">
        <f>IF(X150&gt;'Major critera'!$B$4,X150,0)</f>
        <v>0</v>
      </c>
      <c r="AA150" s="215">
        <f>IF(Y150&gt;'Major critera'!$C$4,Y150,0)</f>
        <v>0</v>
      </c>
    </row>
    <row r="151" spans="1:27" outlineLevel="2">
      <c r="A151" s="136" t="s">
        <v>236</v>
      </c>
      <c r="B151" s="136" t="s">
        <v>203</v>
      </c>
      <c r="C151" s="136" t="s">
        <v>39</v>
      </c>
      <c r="D151" s="137" t="s">
        <v>343</v>
      </c>
      <c r="E151" s="138">
        <v>7132</v>
      </c>
      <c r="F151" s="136" t="s">
        <v>142</v>
      </c>
      <c r="G151" s="136" t="s">
        <v>343</v>
      </c>
      <c r="H151" s="136" t="s">
        <v>278</v>
      </c>
      <c r="I151" s="139">
        <v>0</v>
      </c>
      <c r="J151" s="139">
        <v>0</v>
      </c>
      <c r="K151" s="139">
        <v>0</v>
      </c>
      <c r="L151" s="139">
        <v>0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0</v>
      </c>
      <c r="S151" s="139">
        <v>0</v>
      </c>
      <c r="T151" s="139">
        <v>0</v>
      </c>
      <c r="U151" s="139">
        <f>SUM(I151:T151)</f>
        <v>0</v>
      </c>
      <c r="V151" s="145">
        <f>'CAP15.1-Allocations'!$C$367</f>
        <v>0.78641000000000005</v>
      </c>
      <c r="W151" s="145">
        <f>'CAP15.1-Allocations'!$D$367</f>
        <v>0.21359</v>
      </c>
      <c r="X151" s="131">
        <f t="shared" si="61"/>
        <v>0</v>
      </c>
      <c r="Y151" s="131">
        <f t="shared" si="62"/>
        <v>0</v>
      </c>
      <c r="Z151" s="215">
        <f>IF(X151&gt;'Major critera'!$B$4,X151,0)</f>
        <v>0</v>
      </c>
      <c r="AA151" s="215">
        <f>IF(Y151&gt;'Major critera'!$C$4,Y151,0)</f>
        <v>0</v>
      </c>
    </row>
    <row r="152" spans="1:27" outlineLevel="2">
      <c r="A152" s="136" t="s">
        <v>236</v>
      </c>
      <c r="B152" s="136" t="s">
        <v>203</v>
      </c>
      <c r="C152" s="136" t="s">
        <v>39</v>
      </c>
      <c r="D152" s="137" t="s">
        <v>467</v>
      </c>
      <c r="E152" s="138">
        <v>7135</v>
      </c>
      <c r="F152" s="136" t="s">
        <v>142</v>
      </c>
      <c r="G152" s="136" t="s">
        <v>344</v>
      </c>
      <c r="H152" s="136" t="s">
        <v>278</v>
      </c>
      <c r="I152" s="139">
        <v>0</v>
      </c>
      <c r="J152" s="139">
        <v>0</v>
      </c>
      <c r="K152" s="139">
        <v>0</v>
      </c>
      <c r="L152" s="139">
        <v>0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0</v>
      </c>
      <c r="S152" s="139">
        <v>0</v>
      </c>
      <c r="T152" s="139">
        <v>2750000</v>
      </c>
      <c r="U152" s="139">
        <f>SUM(I152:T152)</f>
        <v>2750000</v>
      </c>
      <c r="V152" s="145">
        <f>'CAP15.1-Allocations'!$C$367</f>
        <v>0.78641000000000005</v>
      </c>
      <c r="W152" s="145">
        <f>'CAP15.1-Allocations'!$D$367</f>
        <v>0.21359</v>
      </c>
      <c r="X152" s="131">
        <f t="shared" si="61"/>
        <v>2162627.5</v>
      </c>
      <c r="Y152" s="131">
        <f t="shared" si="62"/>
        <v>587372.5</v>
      </c>
      <c r="Z152" s="215">
        <f>IF(X152&gt;'Major critera'!$B$4,X152,0)</f>
        <v>0</v>
      </c>
      <c r="AA152" s="215">
        <f>IF(Y152&gt;'Major critera'!$C$4,Y152,0)</f>
        <v>0</v>
      </c>
    </row>
    <row r="153" spans="1:27" outlineLevel="1">
      <c r="A153" s="136"/>
      <c r="B153" s="136"/>
      <c r="C153" s="154" t="s">
        <v>296</v>
      </c>
      <c r="D153" s="137"/>
      <c r="E153" s="138"/>
      <c r="F153" s="136"/>
      <c r="G153" s="136"/>
      <c r="H153" s="136"/>
      <c r="I153" s="186">
        <f t="shared" ref="I153:U153" si="63">SUBTOTAL(9,I150:I152)</f>
        <v>0</v>
      </c>
      <c r="J153" s="186">
        <f t="shared" si="63"/>
        <v>0</v>
      </c>
      <c r="K153" s="186">
        <f t="shared" si="63"/>
        <v>0</v>
      </c>
      <c r="L153" s="186">
        <f t="shared" si="63"/>
        <v>0</v>
      </c>
      <c r="M153" s="186">
        <f t="shared" si="63"/>
        <v>0</v>
      </c>
      <c r="N153" s="186">
        <f t="shared" si="63"/>
        <v>0</v>
      </c>
      <c r="O153" s="186">
        <f t="shared" si="63"/>
        <v>0</v>
      </c>
      <c r="P153" s="186">
        <f t="shared" si="63"/>
        <v>0</v>
      </c>
      <c r="Q153" s="186">
        <f t="shared" si="63"/>
        <v>0</v>
      </c>
      <c r="R153" s="186">
        <f t="shared" si="63"/>
        <v>0</v>
      </c>
      <c r="S153" s="186">
        <f t="shared" si="63"/>
        <v>0</v>
      </c>
      <c r="T153" s="186">
        <f t="shared" si="63"/>
        <v>2750000</v>
      </c>
      <c r="U153" s="186">
        <f t="shared" si="63"/>
        <v>2750000</v>
      </c>
    </row>
    <row r="154" spans="1:27" outlineLevel="2">
      <c r="A154" s="136" t="s">
        <v>236</v>
      </c>
      <c r="B154" s="136" t="s">
        <v>201</v>
      </c>
      <c r="C154" s="136" t="s">
        <v>40</v>
      </c>
      <c r="D154" s="137" t="s">
        <v>468</v>
      </c>
      <c r="E154" s="138">
        <v>5142</v>
      </c>
      <c r="F154" s="136" t="s">
        <v>140</v>
      </c>
      <c r="G154" s="136" t="s">
        <v>213</v>
      </c>
      <c r="H154" s="136" t="s">
        <v>278</v>
      </c>
      <c r="I154" s="139">
        <v>0</v>
      </c>
      <c r="J154" s="139">
        <v>0</v>
      </c>
      <c r="K154" s="139">
        <v>0</v>
      </c>
      <c r="L154" s="139">
        <v>0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0</v>
      </c>
      <c r="S154" s="139">
        <v>719028</v>
      </c>
      <c r="T154" s="139">
        <v>0</v>
      </c>
      <c r="U154" s="139">
        <f>SUM(I154:T154)</f>
        <v>719028</v>
      </c>
      <c r="V154" s="145">
        <f>'CAP15.1-Allocations'!$C$365</f>
        <v>0.67676999999999998</v>
      </c>
      <c r="W154" s="145">
        <v>0</v>
      </c>
      <c r="X154" s="131">
        <f t="shared" ref="X154:X155" si="64">U154*V154</f>
        <v>486616.57955999998</v>
      </c>
      <c r="Y154" s="131">
        <f t="shared" ref="Y154:Y155" si="65">W154*U154</f>
        <v>0</v>
      </c>
      <c r="Z154" s="215">
        <f>IF(X154&gt;'Major critera'!$B$4,X154,0)</f>
        <v>0</v>
      </c>
      <c r="AA154" s="215">
        <f>IF(Y154&gt;'Major critera'!$C$4,Y154,0)</f>
        <v>0</v>
      </c>
    </row>
    <row r="155" spans="1:27" outlineLevel="2">
      <c r="A155" s="136" t="s">
        <v>236</v>
      </c>
      <c r="B155" s="136" t="s">
        <v>201</v>
      </c>
      <c r="C155" s="136" t="s">
        <v>40</v>
      </c>
      <c r="D155" s="137" t="s">
        <v>422</v>
      </c>
      <c r="E155" s="138">
        <v>6002</v>
      </c>
      <c r="F155" s="136" t="s">
        <v>135</v>
      </c>
      <c r="G155" s="136" t="s">
        <v>315</v>
      </c>
      <c r="H155" s="136" t="s">
        <v>277</v>
      </c>
      <c r="I155" s="139">
        <v>20833</v>
      </c>
      <c r="J155" s="139">
        <v>20833</v>
      </c>
      <c r="K155" s="139">
        <v>20833</v>
      </c>
      <c r="L155" s="139">
        <v>20833</v>
      </c>
      <c r="M155" s="139">
        <v>20833</v>
      </c>
      <c r="N155" s="139">
        <v>20833</v>
      </c>
      <c r="O155" s="139">
        <v>20833</v>
      </c>
      <c r="P155" s="139">
        <v>20833</v>
      </c>
      <c r="Q155" s="139">
        <v>20833</v>
      </c>
      <c r="R155" s="139">
        <v>20833</v>
      </c>
      <c r="S155" s="139">
        <v>20833</v>
      </c>
      <c r="T155" s="139">
        <v>20833</v>
      </c>
      <c r="U155" s="139">
        <f>SUM(I155:T155)</f>
        <v>249996</v>
      </c>
      <c r="V155" s="145">
        <f>'CAP15.1-Allocations'!$C$365</f>
        <v>0.67676999999999998</v>
      </c>
      <c r="W155" s="145">
        <v>0</v>
      </c>
      <c r="X155" s="131">
        <f t="shared" si="64"/>
        <v>169189.79292000001</v>
      </c>
      <c r="Y155" s="131">
        <f t="shared" si="65"/>
        <v>0</v>
      </c>
      <c r="Z155" s="215">
        <f>IF(X155&gt;'Major critera'!$B$4,X155,0)</f>
        <v>0</v>
      </c>
      <c r="AA155" s="215">
        <f>IF(Y155&gt;'Major critera'!$C$4,Y155,0)</f>
        <v>0</v>
      </c>
    </row>
    <row r="156" spans="1:27" outlineLevel="1">
      <c r="A156" s="136"/>
      <c r="B156" s="136"/>
      <c r="C156" s="154" t="s">
        <v>294</v>
      </c>
      <c r="D156" s="137"/>
      <c r="E156" s="138"/>
      <c r="F156" s="136"/>
      <c r="G156" s="136"/>
      <c r="H156" s="136"/>
      <c r="I156" s="186">
        <f t="shared" ref="I156:U156" si="66">SUBTOTAL(9,I154:I155)</f>
        <v>20833</v>
      </c>
      <c r="J156" s="186">
        <f t="shared" si="66"/>
        <v>20833</v>
      </c>
      <c r="K156" s="186">
        <f t="shared" si="66"/>
        <v>20833</v>
      </c>
      <c r="L156" s="186">
        <f t="shared" si="66"/>
        <v>20833</v>
      </c>
      <c r="M156" s="186">
        <f t="shared" si="66"/>
        <v>20833</v>
      </c>
      <c r="N156" s="186">
        <f t="shared" si="66"/>
        <v>20833</v>
      </c>
      <c r="O156" s="186">
        <f t="shared" si="66"/>
        <v>20833</v>
      </c>
      <c r="P156" s="186">
        <f t="shared" si="66"/>
        <v>20833</v>
      </c>
      <c r="Q156" s="186">
        <f t="shared" si="66"/>
        <v>20833</v>
      </c>
      <c r="R156" s="186">
        <f t="shared" si="66"/>
        <v>20833</v>
      </c>
      <c r="S156" s="186">
        <f t="shared" si="66"/>
        <v>739861</v>
      </c>
      <c r="T156" s="186">
        <f t="shared" si="66"/>
        <v>20833</v>
      </c>
      <c r="U156" s="186">
        <f t="shared" si="66"/>
        <v>969024</v>
      </c>
    </row>
    <row r="157" spans="1:27">
      <c r="A157" s="136"/>
      <c r="B157" s="136"/>
      <c r="C157" s="154" t="s">
        <v>126</v>
      </c>
      <c r="D157" s="137"/>
      <c r="E157" s="138"/>
      <c r="F157" s="136"/>
      <c r="G157" s="136"/>
      <c r="H157" s="136"/>
      <c r="I157" s="186">
        <f t="shared" ref="I157:T157" si="67">SUBTOTAL(9,I132:I155)</f>
        <v>1005500</v>
      </c>
      <c r="J157" s="186">
        <f t="shared" si="67"/>
        <v>997633</v>
      </c>
      <c r="K157" s="186">
        <f t="shared" si="67"/>
        <v>2537152</v>
      </c>
      <c r="L157" s="186">
        <f t="shared" si="67"/>
        <v>3455989</v>
      </c>
      <c r="M157" s="186">
        <f t="shared" si="67"/>
        <v>714759</v>
      </c>
      <c r="N157" s="186">
        <f t="shared" si="67"/>
        <v>2253879</v>
      </c>
      <c r="O157" s="186">
        <f t="shared" si="67"/>
        <v>722306</v>
      </c>
      <c r="P157" s="186">
        <f t="shared" si="67"/>
        <v>2170371</v>
      </c>
      <c r="Q157" s="186">
        <f t="shared" si="67"/>
        <v>2253585</v>
      </c>
      <c r="R157" s="186">
        <f t="shared" si="67"/>
        <v>997835</v>
      </c>
      <c r="S157" s="186">
        <f t="shared" si="67"/>
        <v>1717114</v>
      </c>
      <c r="T157" s="186">
        <f t="shared" si="67"/>
        <v>25536389</v>
      </c>
      <c r="U157" s="186">
        <f>SUBTOTAL(9,U132:U155)</f>
        <v>44362512</v>
      </c>
    </row>
    <row r="158" spans="1:27" outlineLevel="1">
      <c r="A158" s="136"/>
      <c r="B158" s="136"/>
      <c r="C158" s="136"/>
      <c r="D158" s="137"/>
      <c r="E158" s="138"/>
      <c r="F158" s="136"/>
      <c r="G158" s="136"/>
      <c r="H158" s="136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</row>
    <row r="159" spans="1:27" outlineLevel="2">
      <c r="A159" s="136" t="s">
        <v>229</v>
      </c>
      <c r="B159" s="136" t="s">
        <v>201</v>
      </c>
      <c r="C159" s="136" t="s">
        <v>40</v>
      </c>
      <c r="D159" s="137" t="s">
        <v>469</v>
      </c>
      <c r="E159" s="138">
        <v>4108</v>
      </c>
      <c r="F159" s="136" t="s">
        <v>138</v>
      </c>
      <c r="G159" s="136" t="s">
        <v>60</v>
      </c>
      <c r="H159" s="136" t="s">
        <v>276</v>
      </c>
      <c r="I159" s="139">
        <v>0</v>
      </c>
      <c r="J159" s="139">
        <v>0</v>
      </c>
      <c r="K159" s="139">
        <v>62500</v>
      </c>
      <c r="L159" s="139">
        <v>0</v>
      </c>
      <c r="M159" s="139">
        <v>0</v>
      </c>
      <c r="N159" s="139">
        <v>62500</v>
      </c>
      <c r="O159" s="139">
        <v>0</v>
      </c>
      <c r="P159" s="139">
        <v>0</v>
      </c>
      <c r="Q159" s="139">
        <v>62500</v>
      </c>
      <c r="R159" s="139">
        <v>0</v>
      </c>
      <c r="S159" s="139">
        <v>0</v>
      </c>
      <c r="T159" s="139">
        <v>62500</v>
      </c>
      <c r="U159" s="139">
        <f t="shared" ref="U159:U174" si="68">SUM(I159:T159)</f>
        <v>250000</v>
      </c>
      <c r="V159" s="145">
        <f>'CAP15.1-Allocations'!$C$365</f>
        <v>0.67676999999999998</v>
      </c>
      <c r="W159" s="145">
        <v>0</v>
      </c>
      <c r="X159" s="131">
        <f t="shared" ref="X159:X174" si="69">U159*V159</f>
        <v>169192.5</v>
      </c>
      <c r="Y159" s="131">
        <f t="shared" ref="Y159:Y174" si="70">W159*U159</f>
        <v>0</v>
      </c>
      <c r="Z159" s="217">
        <f>IF(X159&gt;'Major critera'!$B$4,X159,0)</f>
        <v>0</v>
      </c>
      <c r="AA159" s="217">
        <f>IF(Y159&gt;'Major critera'!$C$4,Y159,0)</f>
        <v>0</v>
      </c>
    </row>
    <row r="160" spans="1:27" outlineLevel="2">
      <c r="A160" s="136" t="s">
        <v>229</v>
      </c>
      <c r="B160" s="136" t="s">
        <v>201</v>
      </c>
      <c r="C160" s="136" t="s">
        <v>40</v>
      </c>
      <c r="D160" s="137" t="s">
        <v>470</v>
      </c>
      <c r="E160" s="138">
        <v>4140</v>
      </c>
      <c r="F160" s="136" t="s">
        <v>138</v>
      </c>
      <c r="G160" s="136" t="s">
        <v>62</v>
      </c>
      <c r="H160" s="136" t="s">
        <v>278</v>
      </c>
      <c r="I160" s="139">
        <v>0</v>
      </c>
      <c r="J160" s="139">
        <v>0</v>
      </c>
      <c r="K160" s="139">
        <v>0</v>
      </c>
      <c r="L160" s="139">
        <v>0</v>
      </c>
      <c r="M160" s="139">
        <v>2000000</v>
      </c>
      <c r="N160" s="139">
        <v>0</v>
      </c>
      <c r="O160" s="139">
        <v>0</v>
      </c>
      <c r="P160" s="139">
        <v>0</v>
      </c>
      <c r="Q160" s="139">
        <v>1000000</v>
      </c>
      <c r="R160" s="139">
        <v>0</v>
      </c>
      <c r="S160" s="139">
        <v>0</v>
      </c>
      <c r="T160" s="139">
        <v>48323000</v>
      </c>
      <c r="U160" s="139">
        <f t="shared" si="68"/>
        <v>51323000</v>
      </c>
      <c r="V160" s="145">
        <f>'CAP15.1-Allocations'!$C$365</f>
        <v>0.67676999999999998</v>
      </c>
      <c r="W160" s="145">
        <v>0</v>
      </c>
      <c r="X160" s="131">
        <f t="shared" si="69"/>
        <v>34733866.710000001</v>
      </c>
      <c r="Y160" s="131">
        <f t="shared" si="70"/>
        <v>0</v>
      </c>
      <c r="Z160" s="217">
        <f>IF(X160&gt;'Major critera'!$B$4,X160,0)</f>
        <v>34733866.710000001</v>
      </c>
      <c r="AA160" s="217">
        <f>IF(Y160&gt;'Major critera'!$C$4,Y160,0)</f>
        <v>0</v>
      </c>
    </row>
    <row r="161" spans="1:27" outlineLevel="2">
      <c r="A161" s="136" t="s">
        <v>229</v>
      </c>
      <c r="B161" s="136" t="s">
        <v>201</v>
      </c>
      <c r="C161" s="136" t="s">
        <v>40</v>
      </c>
      <c r="D161" s="137" t="s">
        <v>471</v>
      </c>
      <c r="E161" s="138">
        <v>4147</v>
      </c>
      <c r="F161" s="136" t="s">
        <v>138</v>
      </c>
      <c r="G161" s="136" t="s">
        <v>206</v>
      </c>
      <c r="H161" s="136" t="s">
        <v>276</v>
      </c>
      <c r="I161" s="139">
        <v>0</v>
      </c>
      <c r="J161" s="139">
        <v>0</v>
      </c>
      <c r="K161" s="139">
        <v>0</v>
      </c>
      <c r="L161" s="139">
        <v>0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0</v>
      </c>
      <c r="S161" s="139">
        <v>0</v>
      </c>
      <c r="T161" s="139">
        <v>1149000</v>
      </c>
      <c r="U161" s="139">
        <f t="shared" si="68"/>
        <v>1149000</v>
      </c>
      <c r="V161" s="145">
        <f>'CAP15.1-Allocations'!$C$365</f>
        <v>0.67676999999999998</v>
      </c>
      <c r="W161" s="145">
        <v>0</v>
      </c>
      <c r="X161" s="131">
        <f t="shared" si="69"/>
        <v>777608.73</v>
      </c>
      <c r="Y161" s="131">
        <f t="shared" si="70"/>
        <v>0</v>
      </c>
      <c r="Z161" s="217">
        <f>IF(X161&gt;'Major critera'!$B$4,X161,0)</f>
        <v>0</v>
      </c>
      <c r="AA161" s="217">
        <f>IF(Y161&gt;'Major critera'!$C$4,Y161,0)</f>
        <v>0</v>
      </c>
    </row>
    <row r="162" spans="1:27" outlineLevel="2">
      <c r="A162" s="136" t="s">
        <v>229</v>
      </c>
      <c r="B162" s="136" t="s">
        <v>201</v>
      </c>
      <c r="C162" s="136" t="s">
        <v>40</v>
      </c>
      <c r="D162" s="137" t="s">
        <v>207</v>
      </c>
      <c r="E162" s="138">
        <v>4148</v>
      </c>
      <c r="F162" s="136" t="s">
        <v>138</v>
      </c>
      <c r="G162" s="136" t="s">
        <v>207</v>
      </c>
      <c r="H162" s="136" t="s">
        <v>276</v>
      </c>
      <c r="I162" s="139">
        <v>0</v>
      </c>
      <c r="J162" s="139">
        <v>0</v>
      </c>
      <c r="K162" s="139">
        <v>0</v>
      </c>
      <c r="L162" s="139">
        <v>0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0</v>
      </c>
      <c r="S162" s="139">
        <v>0</v>
      </c>
      <c r="T162" s="139">
        <v>4136001</v>
      </c>
      <c r="U162" s="139">
        <f t="shared" si="68"/>
        <v>4136001</v>
      </c>
      <c r="V162" s="145">
        <f>'CAP15.1-Allocations'!$C$365</f>
        <v>0.67676999999999998</v>
      </c>
      <c r="W162" s="145">
        <v>0</v>
      </c>
      <c r="X162" s="131">
        <f t="shared" si="69"/>
        <v>2799121.39677</v>
      </c>
      <c r="Y162" s="131">
        <f t="shared" si="70"/>
        <v>0</v>
      </c>
      <c r="Z162" s="217">
        <f>IF(X162&gt;'Major critera'!$B$4,X162,0)</f>
        <v>0</v>
      </c>
      <c r="AA162" s="217">
        <f>IF(Y162&gt;'Major critera'!$C$4,Y162,0)</f>
        <v>0</v>
      </c>
    </row>
    <row r="163" spans="1:27" outlineLevel="2">
      <c r="A163" s="136" t="s">
        <v>229</v>
      </c>
      <c r="B163" s="136" t="s">
        <v>201</v>
      </c>
      <c r="C163" s="136" t="s">
        <v>40</v>
      </c>
      <c r="D163" s="137" t="s">
        <v>472</v>
      </c>
      <c r="E163" s="138">
        <v>4152</v>
      </c>
      <c r="F163" s="136" t="s">
        <v>138</v>
      </c>
      <c r="G163" s="136" t="s">
        <v>210</v>
      </c>
      <c r="H163" s="136" t="s">
        <v>278</v>
      </c>
      <c r="I163" s="139">
        <v>3800000</v>
      </c>
      <c r="J163" s="139">
        <v>0</v>
      </c>
      <c r="K163" s="139">
        <v>0</v>
      </c>
      <c r="L163" s="139">
        <f>6500000+4000000</f>
        <v>10500000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0</v>
      </c>
      <c r="S163" s="139">
        <v>0</v>
      </c>
      <c r="T163" s="139">
        <v>0</v>
      </c>
      <c r="U163" s="139">
        <f t="shared" si="68"/>
        <v>14300000</v>
      </c>
      <c r="V163" s="145">
        <f>'CAP15.1-Allocations'!$C$365</f>
        <v>0.67676999999999998</v>
      </c>
      <c r="W163" s="145">
        <v>0</v>
      </c>
      <c r="X163" s="131">
        <f t="shared" si="69"/>
        <v>9677811</v>
      </c>
      <c r="Y163" s="131">
        <f t="shared" si="70"/>
        <v>0</v>
      </c>
      <c r="Z163" s="217">
        <f>IF(X163&gt;'Major critera'!$B$4,X163,0)</f>
        <v>9677811</v>
      </c>
      <c r="AA163" s="217">
        <f>IF(Y163&gt;'Major critera'!$C$4,Y163,0)</f>
        <v>0</v>
      </c>
    </row>
    <row r="164" spans="1:27" outlineLevel="2">
      <c r="A164" s="136" t="s">
        <v>229</v>
      </c>
      <c r="B164" s="136" t="s">
        <v>201</v>
      </c>
      <c r="C164" s="136" t="s">
        <v>40</v>
      </c>
      <c r="D164" s="137" t="s">
        <v>473</v>
      </c>
      <c r="E164" s="138">
        <v>4161</v>
      </c>
      <c r="F164" s="136" t="s">
        <v>138</v>
      </c>
      <c r="G164" s="136" t="s">
        <v>328</v>
      </c>
      <c r="H164" s="136" t="s">
        <v>278</v>
      </c>
      <c r="I164" s="139">
        <v>0</v>
      </c>
      <c r="J164" s="139">
        <v>0</v>
      </c>
      <c r="K164" s="139">
        <v>0</v>
      </c>
      <c r="L164" s="139">
        <v>0</v>
      </c>
      <c r="M164" s="139">
        <v>11400000</v>
      </c>
      <c r="N164" s="139">
        <v>0</v>
      </c>
      <c r="O164" s="139">
        <v>0</v>
      </c>
      <c r="P164" s="139">
        <v>0</v>
      </c>
      <c r="Q164" s="139">
        <v>0</v>
      </c>
      <c r="R164" s="139">
        <v>0</v>
      </c>
      <c r="S164" s="139">
        <v>0</v>
      </c>
      <c r="T164" s="139">
        <v>0</v>
      </c>
      <c r="U164" s="139">
        <f t="shared" si="68"/>
        <v>11400000</v>
      </c>
      <c r="V164" s="145">
        <f>'CAP15.1-Allocations'!$C$365</f>
        <v>0.67676999999999998</v>
      </c>
      <c r="W164" s="145">
        <v>0</v>
      </c>
      <c r="X164" s="131">
        <f t="shared" si="69"/>
        <v>7715178</v>
      </c>
      <c r="Y164" s="131">
        <f t="shared" si="70"/>
        <v>0</v>
      </c>
      <c r="Z164" s="217">
        <f>IF(X164&gt;'Major critera'!$B$4,X164,0)</f>
        <v>7715178</v>
      </c>
      <c r="AA164" s="217">
        <f>IF(Y164&gt;'Major critera'!$C$4,Y164,0)</f>
        <v>0</v>
      </c>
    </row>
    <row r="165" spans="1:27" outlineLevel="2">
      <c r="A165" s="136" t="s">
        <v>229</v>
      </c>
      <c r="B165" s="136" t="s">
        <v>201</v>
      </c>
      <c r="C165" s="136" t="s">
        <v>40</v>
      </c>
      <c r="D165" s="137" t="s">
        <v>474</v>
      </c>
      <c r="E165" s="138">
        <v>4162</v>
      </c>
      <c r="F165" s="136" t="s">
        <v>138</v>
      </c>
      <c r="G165" s="136" t="s">
        <v>329</v>
      </c>
      <c r="H165" s="136" t="s">
        <v>278</v>
      </c>
      <c r="I165" s="139">
        <v>0</v>
      </c>
      <c r="J165" s="139">
        <v>0</v>
      </c>
      <c r="K165" s="139">
        <v>0</v>
      </c>
      <c r="L165" s="139">
        <v>0</v>
      </c>
      <c r="M165" s="139">
        <v>11008000</v>
      </c>
      <c r="N165" s="139">
        <v>0</v>
      </c>
      <c r="O165" s="139">
        <v>0</v>
      </c>
      <c r="P165" s="139">
        <v>0</v>
      </c>
      <c r="Q165" s="139">
        <v>0</v>
      </c>
      <c r="R165" s="139">
        <v>0</v>
      </c>
      <c r="S165" s="139">
        <v>0</v>
      </c>
      <c r="T165" s="139">
        <v>0</v>
      </c>
      <c r="U165" s="139">
        <f t="shared" si="68"/>
        <v>11008000</v>
      </c>
      <c r="V165" s="145">
        <f>'CAP15.1-Allocations'!$C$365</f>
        <v>0.67676999999999998</v>
      </c>
      <c r="W165" s="145">
        <v>0</v>
      </c>
      <c r="X165" s="131">
        <f t="shared" si="69"/>
        <v>7449884.1600000001</v>
      </c>
      <c r="Y165" s="131">
        <f t="shared" si="70"/>
        <v>0</v>
      </c>
      <c r="Z165" s="217">
        <f>IF(X165&gt;'Major critera'!$B$4,X165,0)</f>
        <v>7449884.1600000001</v>
      </c>
      <c r="AA165" s="217">
        <f>IF(Y165&gt;'Major critera'!$C$4,Y165,0)</f>
        <v>0</v>
      </c>
    </row>
    <row r="166" spans="1:27" outlineLevel="2">
      <c r="A166" s="136" t="s">
        <v>229</v>
      </c>
      <c r="B166" s="136" t="s">
        <v>201</v>
      </c>
      <c r="C166" s="136" t="s">
        <v>40</v>
      </c>
      <c r="D166" s="137" t="s">
        <v>475</v>
      </c>
      <c r="E166" s="138">
        <v>4163</v>
      </c>
      <c r="F166" s="136" t="s">
        <v>138</v>
      </c>
      <c r="G166" s="136" t="s">
        <v>330</v>
      </c>
      <c r="H166" s="136" t="s">
        <v>278</v>
      </c>
      <c r="I166" s="139">
        <v>0</v>
      </c>
      <c r="J166" s="139">
        <v>0</v>
      </c>
      <c r="K166" s="139">
        <v>0</v>
      </c>
      <c r="L166" s="139">
        <v>0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0</v>
      </c>
      <c r="S166" s="139">
        <v>0</v>
      </c>
      <c r="T166" s="139">
        <v>0</v>
      </c>
      <c r="U166" s="139">
        <f t="shared" si="68"/>
        <v>0</v>
      </c>
      <c r="V166" s="145">
        <f>'CAP15.1-Allocations'!$C$365</f>
        <v>0.67676999999999998</v>
      </c>
      <c r="W166" s="145">
        <v>0</v>
      </c>
      <c r="X166" s="131">
        <f t="shared" si="69"/>
        <v>0</v>
      </c>
      <c r="Y166" s="131">
        <f t="shared" si="70"/>
        <v>0</v>
      </c>
      <c r="Z166" s="217">
        <f>IF(X166&gt;'Major critera'!$B$4,X166,0)</f>
        <v>0</v>
      </c>
      <c r="AA166" s="217">
        <f>IF(Y166&gt;'Major critera'!$C$4,Y166,0)</f>
        <v>0</v>
      </c>
    </row>
    <row r="167" spans="1:27" outlineLevel="2">
      <c r="A167" s="136" t="s">
        <v>229</v>
      </c>
      <c r="B167" s="136" t="s">
        <v>201</v>
      </c>
      <c r="C167" s="136" t="s">
        <v>40</v>
      </c>
      <c r="D167" s="137" t="s">
        <v>331</v>
      </c>
      <c r="E167" s="138">
        <v>4164</v>
      </c>
      <c r="F167" s="136" t="s">
        <v>138</v>
      </c>
      <c r="G167" s="136" t="s">
        <v>331</v>
      </c>
      <c r="H167" s="136" t="s">
        <v>278</v>
      </c>
      <c r="I167" s="139">
        <v>0</v>
      </c>
      <c r="J167" s="139">
        <v>0</v>
      </c>
      <c r="K167" s="139">
        <v>0</v>
      </c>
      <c r="L167" s="139">
        <v>0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0</v>
      </c>
      <c r="S167" s="139">
        <v>0</v>
      </c>
      <c r="T167" s="139">
        <v>0</v>
      </c>
      <c r="U167" s="139">
        <f t="shared" si="68"/>
        <v>0</v>
      </c>
      <c r="V167" s="145">
        <f>'CAP15.1-Allocations'!$C$365</f>
        <v>0.67676999999999998</v>
      </c>
      <c r="W167" s="145">
        <v>0</v>
      </c>
      <c r="X167" s="131">
        <f t="shared" si="69"/>
        <v>0</v>
      </c>
      <c r="Y167" s="131">
        <f t="shared" si="70"/>
        <v>0</v>
      </c>
      <c r="Z167" s="217">
        <f>IF(X167&gt;'Major critera'!$B$4,X167,0)</f>
        <v>0</v>
      </c>
      <c r="AA167" s="217">
        <f>IF(Y167&gt;'Major critera'!$C$4,Y167,0)</f>
        <v>0</v>
      </c>
    </row>
    <row r="168" spans="1:27" outlineLevel="2">
      <c r="A168" s="136" t="s">
        <v>229</v>
      </c>
      <c r="B168" s="136" t="s">
        <v>201</v>
      </c>
      <c r="C168" s="136" t="s">
        <v>40</v>
      </c>
      <c r="D168" s="202" t="s">
        <v>492</v>
      </c>
      <c r="E168" s="203">
        <v>4166</v>
      </c>
      <c r="F168" s="136" t="s">
        <v>138</v>
      </c>
      <c r="G168" s="201" t="s">
        <v>493</v>
      </c>
      <c r="H168" s="201" t="s">
        <v>278</v>
      </c>
      <c r="I168" s="139"/>
      <c r="J168" s="139"/>
      <c r="K168" s="139"/>
      <c r="L168" s="139"/>
      <c r="M168" s="139"/>
      <c r="N168" s="139">
        <v>1350000</v>
      </c>
      <c r="O168" s="139"/>
      <c r="P168" s="139"/>
      <c r="Q168" s="139"/>
      <c r="R168" s="139"/>
      <c r="S168" s="139"/>
      <c r="T168" s="139"/>
      <c r="U168" s="139">
        <f t="shared" si="68"/>
        <v>1350000</v>
      </c>
      <c r="V168" s="145">
        <f>'CAP15.1-Allocations'!$C$365</f>
        <v>0.67676999999999998</v>
      </c>
      <c r="W168" s="145">
        <v>0</v>
      </c>
      <c r="X168" s="131">
        <f t="shared" si="69"/>
        <v>913639.5</v>
      </c>
      <c r="Y168" s="131">
        <f t="shared" si="70"/>
        <v>0</v>
      </c>
      <c r="Z168" s="217">
        <f>IF(X168&gt;'Major critera'!$B$4,X168,0)</f>
        <v>0</v>
      </c>
      <c r="AA168" s="217">
        <f>IF(Y168&gt;'Major critera'!$C$4,Y168,0)</f>
        <v>0</v>
      </c>
    </row>
    <row r="169" spans="1:27" outlineLevel="2">
      <c r="A169" s="136" t="s">
        <v>229</v>
      </c>
      <c r="B169" s="136" t="s">
        <v>201</v>
      </c>
      <c r="C169" s="136" t="s">
        <v>40</v>
      </c>
      <c r="D169" s="137" t="s">
        <v>476</v>
      </c>
      <c r="E169" s="138">
        <v>4169</v>
      </c>
      <c r="F169" s="136" t="s">
        <v>138</v>
      </c>
      <c r="G169" s="136" t="s">
        <v>288</v>
      </c>
      <c r="H169" s="136" t="s">
        <v>278</v>
      </c>
      <c r="I169" s="139">
        <v>0</v>
      </c>
      <c r="J169" s="139">
        <v>0</v>
      </c>
      <c r="K169" s="139">
        <v>0</v>
      </c>
      <c r="L169" s="139">
        <v>0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0</v>
      </c>
      <c r="S169" s="139">
        <v>0</v>
      </c>
      <c r="T169" s="139">
        <v>0</v>
      </c>
      <c r="U169" s="139">
        <f t="shared" si="68"/>
        <v>0</v>
      </c>
      <c r="V169" s="145">
        <f>'CAP15.1-Allocations'!$C$365</f>
        <v>0.67676999999999998</v>
      </c>
      <c r="W169" s="145">
        <v>0</v>
      </c>
      <c r="X169" s="131">
        <f t="shared" si="69"/>
        <v>0</v>
      </c>
      <c r="Y169" s="131">
        <f t="shared" si="70"/>
        <v>0</v>
      </c>
      <c r="Z169" s="217">
        <f>IF(X169&gt;'Major critera'!$B$4,X169,0)</f>
        <v>0</v>
      </c>
      <c r="AA169" s="217">
        <f>IF(Y169&gt;'Major critera'!$C$4,Y169,0)</f>
        <v>0</v>
      </c>
    </row>
    <row r="170" spans="1:27" outlineLevel="2">
      <c r="A170" s="136" t="s">
        <v>229</v>
      </c>
      <c r="B170" s="136" t="s">
        <v>201</v>
      </c>
      <c r="C170" s="136" t="s">
        <v>40</v>
      </c>
      <c r="D170" s="137" t="s">
        <v>334</v>
      </c>
      <c r="E170" s="138">
        <v>4171</v>
      </c>
      <c r="F170" s="136" t="s">
        <v>138</v>
      </c>
      <c r="G170" s="136" t="s">
        <v>334</v>
      </c>
      <c r="H170" s="136" t="s">
        <v>278</v>
      </c>
      <c r="I170" s="139">
        <v>0</v>
      </c>
      <c r="J170" s="139">
        <v>0</v>
      </c>
      <c r="K170" s="139">
        <v>0</v>
      </c>
      <c r="L170" s="139">
        <v>0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0</v>
      </c>
      <c r="S170" s="139">
        <v>0</v>
      </c>
      <c r="T170" s="139">
        <v>0</v>
      </c>
      <c r="U170" s="139">
        <f t="shared" si="68"/>
        <v>0</v>
      </c>
      <c r="V170" s="145">
        <f>'CAP15.1-Allocations'!$C$365</f>
        <v>0.67676999999999998</v>
      </c>
      <c r="W170" s="145">
        <v>0</v>
      </c>
      <c r="X170" s="131">
        <f t="shared" si="69"/>
        <v>0</v>
      </c>
      <c r="Y170" s="131">
        <f t="shared" si="70"/>
        <v>0</v>
      </c>
      <c r="Z170" s="217">
        <f>IF(X170&gt;'Major critera'!$B$4,X170,0)</f>
        <v>0</v>
      </c>
      <c r="AA170" s="217">
        <f>IF(Y170&gt;'Major critera'!$C$4,Y170,0)</f>
        <v>0</v>
      </c>
    </row>
    <row r="171" spans="1:27" outlineLevel="2">
      <c r="A171" s="136" t="s">
        <v>229</v>
      </c>
      <c r="B171" s="136" t="s">
        <v>201</v>
      </c>
      <c r="C171" s="136" t="s">
        <v>40</v>
      </c>
      <c r="D171" s="137" t="s">
        <v>477</v>
      </c>
      <c r="E171" s="138">
        <v>6001</v>
      </c>
      <c r="F171" s="136" t="s">
        <v>135</v>
      </c>
      <c r="G171" s="136" t="s">
        <v>136</v>
      </c>
      <c r="H171" s="136" t="s">
        <v>277</v>
      </c>
      <c r="I171" s="139">
        <v>0</v>
      </c>
      <c r="J171" s="139">
        <v>0</v>
      </c>
      <c r="K171" s="139">
        <v>17500</v>
      </c>
      <c r="L171" s="139">
        <v>0</v>
      </c>
      <c r="M171" s="139">
        <v>0</v>
      </c>
      <c r="N171" s="139">
        <v>17500</v>
      </c>
      <c r="O171" s="139">
        <v>0</v>
      </c>
      <c r="P171" s="139">
        <v>0</v>
      </c>
      <c r="Q171" s="139">
        <v>17500</v>
      </c>
      <c r="R171" s="139">
        <v>0</v>
      </c>
      <c r="S171" s="139">
        <v>0</v>
      </c>
      <c r="T171" s="139">
        <v>17500</v>
      </c>
      <c r="U171" s="139">
        <f t="shared" si="68"/>
        <v>70000</v>
      </c>
      <c r="V171" s="145">
        <f>'CAP15.1-Allocations'!$C$365</f>
        <v>0.67676999999999998</v>
      </c>
      <c r="W171" s="145">
        <v>0</v>
      </c>
      <c r="X171" s="131">
        <f t="shared" si="69"/>
        <v>47373.9</v>
      </c>
      <c r="Y171" s="131">
        <f t="shared" si="70"/>
        <v>0</v>
      </c>
      <c r="Z171" s="217">
        <f>IF(X171&gt;'Major critera'!$B$4,X171,0)</f>
        <v>0</v>
      </c>
      <c r="AA171" s="217">
        <f>IF(Y171&gt;'Major critera'!$C$4,Y171,0)</f>
        <v>0</v>
      </c>
    </row>
    <row r="172" spans="1:27" outlineLevel="2">
      <c r="A172" s="136" t="s">
        <v>229</v>
      </c>
      <c r="B172" s="136" t="s">
        <v>201</v>
      </c>
      <c r="C172" s="136" t="s">
        <v>40</v>
      </c>
      <c r="D172" s="137" t="s">
        <v>478</v>
      </c>
      <c r="E172" s="138">
        <v>6100</v>
      </c>
      <c r="F172" s="136" t="s">
        <v>135</v>
      </c>
      <c r="G172" s="136" t="s">
        <v>65</v>
      </c>
      <c r="H172" s="136" t="s">
        <v>277</v>
      </c>
      <c r="I172" s="139">
        <v>0</v>
      </c>
      <c r="J172" s="139">
        <v>0</v>
      </c>
      <c r="K172" s="139">
        <v>15000</v>
      </c>
      <c r="L172" s="139">
        <v>15000</v>
      </c>
      <c r="M172" s="139">
        <v>15000</v>
      </c>
      <c r="N172" s="139">
        <v>0</v>
      </c>
      <c r="O172" s="139">
        <v>0</v>
      </c>
      <c r="P172" s="139">
        <v>15000</v>
      </c>
      <c r="Q172" s="139">
        <v>15000</v>
      </c>
      <c r="R172" s="139">
        <v>15000</v>
      </c>
      <c r="S172" s="139">
        <v>10000</v>
      </c>
      <c r="T172" s="139">
        <v>0</v>
      </c>
      <c r="U172" s="139">
        <f t="shared" si="68"/>
        <v>100000</v>
      </c>
      <c r="V172" s="145">
        <f>'CAP15.1-Allocations'!$C$365</f>
        <v>0.67676999999999998</v>
      </c>
      <c r="W172" s="145">
        <v>0</v>
      </c>
      <c r="X172" s="131">
        <f t="shared" si="69"/>
        <v>67677</v>
      </c>
      <c r="Y172" s="131">
        <f t="shared" si="70"/>
        <v>0</v>
      </c>
      <c r="Z172" s="217">
        <f>IF(X172&gt;'Major critera'!$B$4,X172,0)</f>
        <v>0</v>
      </c>
      <c r="AA172" s="217">
        <f>IF(Y172&gt;'Major critera'!$C$4,Y172,0)</f>
        <v>0</v>
      </c>
    </row>
    <row r="173" spans="1:27" outlineLevel="2">
      <c r="A173" s="136" t="s">
        <v>229</v>
      </c>
      <c r="B173" s="136" t="s">
        <v>201</v>
      </c>
      <c r="C173" s="136" t="s">
        <v>40</v>
      </c>
      <c r="D173" s="137" t="s">
        <v>478</v>
      </c>
      <c r="E173" s="138">
        <v>6103</v>
      </c>
      <c r="F173" s="136" t="s">
        <v>135</v>
      </c>
      <c r="G173" s="136" t="s">
        <v>67</v>
      </c>
      <c r="H173" s="136" t="s">
        <v>277</v>
      </c>
      <c r="I173" s="139">
        <f>91627+676400</f>
        <v>768027</v>
      </c>
      <c r="J173" s="139">
        <f>187813+676400</f>
        <v>864213</v>
      </c>
      <c r="K173" s="139">
        <f>220376+676400</f>
        <v>896776</v>
      </c>
      <c r="L173" s="139">
        <f>286098+676400</f>
        <v>962498</v>
      </c>
      <c r="M173" s="139">
        <f>319019+676400</f>
        <v>995419</v>
      </c>
      <c r="N173" s="139">
        <f>351369+676400</f>
        <v>1027769</v>
      </c>
      <c r="O173" s="139">
        <f>255517+676400</f>
        <v>931917</v>
      </c>
      <c r="P173" s="139">
        <f>220055+676400</f>
        <v>896455</v>
      </c>
      <c r="Q173" s="139">
        <f>285748+676400</f>
        <v>962148</v>
      </c>
      <c r="R173" s="139">
        <f>318950+676400</f>
        <v>995350</v>
      </c>
      <c r="S173" s="139">
        <f>515639+676400</f>
        <v>1192039</v>
      </c>
      <c r="T173" s="139">
        <f>2718999+676400</f>
        <v>3395399</v>
      </c>
      <c r="U173" s="139">
        <f t="shared" si="68"/>
        <v>13888010</v>
      </c>
      <c r="V173" s="145">
        <f>'CAP15.1-Allocations'!$C$365</f>
        <v>0.67676999999999998</v>
      </c>
      <c r="W173" s="145">
        <v>0</v>
      </c>
      <c r="X173" s="131">
        <f t="shared" si="69"/>
        <v>9398988.5276999995</v>
      </c>
      <c r="Y173" s="131">
        <f t="shared" si="70"/>
        <v>0</v>
      </c>
      <c r="Z173" s="217">
        <f>IF(X173&gt;'Major critera'!$B$4,X173,0)</f>
        <v>9398988.5276999995</v>
      </c>
      <c r="AA173" s="217">
        <f>IF(Y173&gt;'Major critera'!$C$4,Y173,0)</f>
        <v>0</v>
      </c>
    </row>
    <row r="174" spans="1:27" outlineLevel="2">
      <c r="A174" s="136" t="s">
        <v>229</v>
      </c>
      <c r="B174" s="136" t="s">
        <v>201</v>
      </c>
      <c r="C174" s="136" t="s">
        <v>40</v>
      </c>
      <c r="D174" s="137" t="s">
        <v>479</v>
      </c>
      <c r="E174" s="138">
        <v>6107</v>
      </c>
      <c r="F174" s="136" t="s">
        <v>135</v>
      </c>
      <c r="G174" s="136" t="s">
        <v>68</v>
      </c>
      <c r="H174" s="136" t="s">
        <v>277</v>
      </c>
      <c r="I174" s="139">
        <v>38500</v>
      </c>
      <c r="J174" s="139">
        <v>38500</v>
      </c>
      <c r="K174" s="139">
        <v>38500</v>
      </c>
      <c r="L174" s="139">
        <v>38500</v>
      </c>
      <c r="M174" s="139">
        <v>38500</v>
      </c>
      <c r="N174" s="139">
        <v>38500</v>
      </c>
      <c r="O174" s="139">
        <v>38500</v>
      </c>
      <c r="P174" s="139">
        <v>38500</v>
      </c>
      <c r="Q174" s="139">
        <v>38500</v>
      </c>
      <c r="R174" s="139">
        <v>38500</v>
      </c>
      <c r="S174" s="139">
        <v>38500</v>
      </c>
      <c r="T174" s="139">
        <v>38200</v>
      </c>
      <c r="U174" s="139">
        <f t="shared" si="68"/>
        <v>461700</v>
      </c>
      <c r="V174" s="145">
        <f>'CAP15.1-Allocations'!$C$365</f>
        <v>0.67676999999999998</v>
      </c>
      <c r="W174" s="145">
        <v>0</v>
      </c>
      <c r="X174" s="131">
        <f t="shared" si="69"/>
        <v>312464.70899999997</v>
      </c>
      <c r="Y174" s="131">
        <f t="shared" si="70"/>
        <v>0</v>
      </c>
      <c r="Z174" s="217">
        <f>IF(X174&gt;'Major critera'!$B$4,X174,0)</f>
        <v>0</v>
      </c>
      <c r="AA174" s="217">
        <f>IF(Y174&gt;'Major critera'!$C$4,Y174,0)</f>
        <v>0</v>
      </c>
    </row>
    <row r="175" spans="1:27" outlineLevel="1">
      <c r="A175" s="154" t="s">
        <v>290</v>
      </c>
      <c r="B175" s="136"/>
      <c r="C175" s="136"/>
      <c r="D175" s="137"/>
      <c r="E175" s="138"/>
      <c r="F175" s="136"/>
      <c r="G175" s="136"/>
      <c r="H175" s="136"/>
      <c r="I175" s="186">
        <f t="shared" ref="I175:U175" si="71">SUBTOTAL(9,I159:I174)</f>
        <v>4606527</v>
      </c>
      <c r="J175" s="186">
        <f t="shared" si="71"/>
        <v>902713</v>
      </c>
      <c r="K175" s="186">
        <f t="shared" si="71"/>
        <v>1030276</v>
      </c>
      <c r="L175" s="186">
        <f t="shared" si="71"/>
        <v>11515998</v>
      </c>
      <c r="M175" s="186">
        <f t="shared" si="71"/>
        <v>25456919</v>
      </c>
      <c r="N175" s="186">
        <f t="shared" si="71"/>
        <v>2496269</v>
      </c>
      <c r="O175" s="186">
        <f t="shared" si="71"/>
        <v>970417</v>
      </c>
      <c r="P175" s="186">
        <f t="shared" si="71"/>
        <v>949955</v>
      </c>
      <c r="Q175" s="186">
        <f t="shared" si="71"/>
        <v>2095648</v>
      </c>
      <c r="R175" s="186">
        <f t="shared" si="71"/>
        <v>1048850</v>
      </c>
      <c r="S175" s="186">
        <f t="shared" si="71"/>
        <v>1240539</v>
      </c>
      <c r="T175" s="186">
        <f t="shared" si="71"/>
        <v>57121600</v>
      </c>
      <c r="U175" s="186">
        <f t="shared" si="71"/>
        <v>109435711</v>
      </c>
    </row>
    <row r="176" spans="1:27" outlineLevel="1">
      <c r="A176" s="136"/>
      <c r="B176" s="136"/>
      <c r="C176" s="136"/>
      <c r="D176" s="137"/>
      <c r="E176" s="138"/>
      <c r="F176" s="136"/>
      <c r="G176" s="136"/>
      <c r="H176" s="136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</row>
    <row r="177" spans="1:27" outlineLevel="2">
      <c r="A177" s="136" t="s">
        <v>232</v>
      </c>
      <c r="B177" s="136" t="s">
        <v>201</v>
      </c>
      <c r="C177" s="136" t="s">
        <v>40</v>
      </c>
      <c r="D177" s="137" t="s">
        <v>480</v>
      </c>
      <c r="E177" s="138">
        <v>4142</v>
      </c>
      <c r="F177" s="136" t="s">
        <v>138</v>
      </c>
      <c r="G177" s="136" t="s">
        <v>326</v>
      </c>
      <c r="H177" s="136" t="s">
        <v>276</v>
      </c>
      <c r="I177" s="139">
        <v>0</v>
      </c>
      <c r="J177" s="139">
        <v>0</v>
      </c>
      <c r="K177" s="139">
        <f>185000-185000</f>
        <v>0</v>
      </c>
      <c r="L177" s="139">
        <v>0</v>
      </c>
      <c r="M177" s="139">
        <v>0</v>
      </c>
      <c r="N177" s="139">
        <f>185000-185000</f>
        <v>0</v>
      </c>
      <c r="O177" s="139">
        <v>0</v>
      </c>
      <c r="P177" s="139">
        <v>0</v>
      </c>
      <c r="Q177" s="139">
        <f>185000-185000</f>
        <v>0</v>
      </c>
      <c r="R177" s="139">
        <v>0</v>
      </c>
      <c r="S177" s="139">
        <v>0</v>
      </c>
      <c r="T177" s="139">
        <f>185000-185000</f>
        <v>0</v>
      </c>
      <c r="U177" s="139">
        <f>SUM(I177:T177)</f>
        <v>0</v>
      </c>
      <c r="V177" s="145">
        <f>'CAP15.1-Allocations'!$C$365</f>
        <v>0.67676999999999998</v>
      </c>
      <c r="W177" s="145">
        <v>0</v>
      </c>
      <c r="X177" s="131">
        <f t="shared" ref="X177:X180" si="72">U177*V177</f>
        <v>0</v>
      </c>
      <c r="Y177" s="131">
        <f t="shared" ref="Y177:Y180" si="73">W177*U177</f>
        <v>0</v>
      </c>
      <c r="Z177" s="215">
        <f>IF(X177&gt;'Major critera'!$B$4,X177,0)</f>
        <v>0</v>
      </c>
      <c r="AA177" s="215">
        <f>IF(Y177&gt;'Major critera'!$C$4,Y177,0)</f>
        <v>0</v>
      </c>
    </row>
    <row r="178" spans="1:27" outlineLevel="2">
      <c r="A178" s="136" t="s">
        <v>232</v>
      </c>
      <c r="B178" s="136" t="s">
        <v>201</v>
      </c>
      <c r="C178" s="136" t="s">
        <v>40</v>
      </c>
      <c r="D178" s="137" t="s">
        <v>480</v>
      </c>
      <c r="E178" s="138">
        <v>4143</v>
      </c>
      <c r="F178" s="136" t="s">
        <v>138</v>
      </c>
      <c r="G178" s="136" t="s">
        <v>327</v>
      </c>
      <c r="H178" s="136" t="s">
        <v>276</v>
      </c>
      <c r="I178" s="139">
        <v>0</v>
      </c>
      <c r="J178" s="139">
        <v>0</v>
      </c>
      <c r="K178" s="139">
        <v>0</v>
      </c>
      <c r="L178" s="139">
        <v>0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0</v>
      </c>
      <c r="S178" s="139">
        <v>0</v>
      </c>
      <c r="T178" s="139">
        <v>0</v>
      </c>
      <c r="U178" s="139">
        <f>SUM(I178:T178)</f>
        <v>0</v>
      </c>
      <c r="V178" s="145">
        <f>'CAP15.1-Allocations'!$C$365</f>
        <v>0.67676999999999998</v>
      </c>
      <c r="W178" s="145">
        <v>0</v>
      </c>
      <c r="X178" s="131">
        <f t="shared" si="72"/>
        <v>0</v>
      </c>
      <c r="Y178" s="131">
        <f t="shared" si="73"/>
        <v>0</v>
      </c>
      <c r="Z178" s="215">
        <f>IF(X178&gt;'Major critera'!$B$4,X178,0)</f>
        <v>0</v>
      </c>
      <c r="AA178" s="215">
        <f>IF(Y178&gt;'Major critera'!$C$4,Y178,0)</f>
        <v>0</v>
      </c>
    </row>
    <row r="179" spans="1:27" outlineLevel="2">
      <c r="A179" s="136" t="s">
        <v>232</v>
      </c>
      <c r="B179" s="136" t="s">
        <v>201</v>
      </c>
      <c r="C179" s="136" t="s">
        <v>40</v>
      </c>
      <c r="D179" s="137" t="s">
        <v>481</v>
      </c>
      <c r="E179" s="138">
        <v>4149</v>
      </c>
      <c r="F179" s="136" t="s">
        <v>138</v>
      </c>
      <c r="G179" s="136" t="s">
        <v>208</v>
      </c>
      <c r="H179" s="136" t="s">
        <v>276</v>
      </c>
      <c r="I179" s="139">
        <v>0</v>
      </c>
      <c r="J179" s="139">
        <v>0</v>
      </c>
      <c r="K179" s="139">
        <v>0</v>
      </c>
      <c r="L179" s="139">
        <v>0</v>
      </c>
      <c r="M179" s="139">
        <v>0</v>
      </c>
      <c r="N179" s="139">
        <v>0</v>
      </c>
      <c r="O179" s="139">
        <v>2200000</v>
      </c>
      <c r="P179" s="139">
        <v>0</v>
      </c>
      <c r="Q179" s="139">
        <v>0</v>
      </c>
      <c r="R179" s="139">
        <v>0</v>
      </c>
      <c r="S179" s="139">
        <v>0</v>
      </c>
      <c r="T179" s="139">
        <v>0</v>
      </c>
      <c r="U179" s="139">
        <f>SUM(I179:T179)</f>
        <v>2200000</v>
      </c>
      <c r="V179" s="145">
        <f>'CAP15.1-Allocations'!$C$365</f>
        <v>0.67676999999999998</v>
      </c>
      <c r="W179" s="145">
        <v>0</v>
      </c>
      <c r="X179" s="131">
        <f t="shared" si="72"/>
        <v>1488894</v>
      </c>
      <c r="Y179" s="131">
        <f t="shared" si="73"/>
        <v>0</v>
      </c>
      <c r="Z179" s="215">
        <f>IF(X179&gt;'Major critera'!$B$4,X179,0)</f>
        <v>0</v>
      </c>
      <c r="AA179" s="215">
        <f>IF(Y179&gt;'Major critera'!$C$4,Y179,0)</f>
        <v>0</v>
      </c>
    </row>
    <row r="180" spans="1:27" outlineLevel="2">
      <c r="A180" s="136" t="s">
        <v>232</v>
      </c>
      <c r="B180" s="136" t="s">
        <v>201</v>
      </c>
      <c r="C180" s="136" t="s">
        <v>40</v>
      </c>
      <c r="D180" s="137" t="s">
        <v>209</v>
      </c>
      <c r="E180" s="138">
        <v>4150</v>
      </c>
      <c r="F180" s="136" t="s">
        <v>138</v>
      </c>
      <c r="G180" s="136" t="s">
        <v>209</v>
      </c>
      <c r="H180" s="136" t="s">
        <v>276</v>
      </c>
      <c r="I180" s="139">
        <v>0</v>
      </c>
      <c r="J180" s="139">
        <v>0</v>
      </c>
      <c r="K180" s="139">
        <v>0</v>
      </c>
      <c r="L180" s="139">
        <v>0</v>
      </c>
      <c r="M180" s="139">
        <v>0</v>
      </c>
      <c r="N180" s="139">
        <v>0</v>
      </c>
      <c r="O180" s="139">
        <v>500000</v>
      </c>
      <c r="P180" s="139">
        <v>0</v>
      </c>
      <c r="Q180" s="139">
        <v>0</v>
      </c>
      <c r="R180" s="139">
        <v>0</v>
      </c>
      <c r="S180" s="139">
        <v>0</v>
      </c>
      <c r="T180" s="139">
        <v>0</v>
      </c>
      <c r="U180" s="139">
        <f>SUM(I180:T180)</f>
        <v>500000</v>
      </c>
      <c r="V180" s="145">
        <f>'CAP15.1-Allocations'!$C$365</f>
        <v>0.67676999999999998</v>
      </c>
      <c r="W180" s="145">
        <v>0</v>
      </c>
      <c r="X180" s="131">
        <f t="shared" si="72"/>
        <v>338385</v>
      </c>
      <c r="Y180" s="131">
        <f t="shared" si="73"/>
        <v>0</v>
      </c>
      <c r="Z180" s="215">
        <f>IF(X180&gt;'Major critera'!$B$4,X180,0)</f>
        <v>0</v>
      </c>
      <c r="AA180" s="215">
        <f>IF(Y180&gt;'Major critera'!$C$4,Y180,0)</f>
        <v>0</v>
      </c>
    </row>
    <row r="181" spans="1:27" outlineLevel="1">
      <c r="A181" s="154" t="s">
        <v>291</v>
      </c>
      <c r="B181" s="136"/>
      <c r="C181" s="136"/>
      <c r="D181" s="137"/>
      <c r="E181" s="138"/>
      <c r="F181" s="136"/>
      <c r="G181" s="136"/>
      <c r="H181" s="136"/>
      <c r="I181" s="186">
        <f t="shared" ref="I181:U181" si="74">SUBTOTAL(9,I177:I180)</f>
        <v>0</v>
      </c>
      <c r="J181" s="186">
        <f t="shared" si="74"/>
        <v>0</v>
      </c>
      <c r="K181" s="186">
        <f t="shared" si="74"/>
        <v>0</v>
      </c>
      <c r="L181" s="186">
        <f t="shared" si="74"/>
        <v>0</v>
      </c>
      <c r="M181" s="186">
        <f t="shared" si="74"/>
        <v>0</v>
      </c>
      <c r="N181" s="186">
        <f t="shared" si="74"/>
        <v>0</v>
      </c>
      <c r="O181" s="186">
        <f t="shared" si="74"/>
        <v>2700000</v>
      </c>
      <c r="P181" s="186">
        <f t="shared" si="74"/>
        <v>0</v>
      </c>
      <c r="Q181" s="186">
        <f t="shared" si="74"/>
        <v>0</v>
      </c>
      <c r="R181" s="186">
        <f t="shared" si="74"/>
        <v>0</v>
      </c>
      <c r="S181" s="186">
        <f t="shared" si="74"/>
        <v>0</v>
      </c>
      <c r="T181" s="186">
        <f t="shared" si="74"/>
        <v>0</v>
      </c>
      <c r="U181" s="186">
        <f t="shared" si="74"/>
        <v>2700000</v>
      </c>
    </row>
    <row r="182" spans="1:27" outlineLevel="1">
      <c r="A182" s="136"/>
      <c r="B182" s="136"/>
      <c r="C182" s="136"/>
      <c r="D182" s="137"/>
      <c r="E182" s="138"/>
      <c r="F182" s="136"/>
      <c r="G182" s="136"/>
      <c r="H182" s="136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</row>
    <row r="183" spans="1:27">
      <c r="A183" s="136" t="s">
        <v>234</v>
      </c>
      <c r="B183" s="136" t="s">
        <v>203</v>
      </c>
      <c r="C183" s="136" t="s">
        <v>41</v>
      </c>
      <c r="D183" s="137" t="s">
        <v>482</v>
      </c>
      <c r="E183" s="138">
        <v>5005</v>
      </c>
      <c r="F183" s="136" t="s">
        <v>140</v>
      </c>
      <c r="G183" s="136" t="s">
        <v>211</v>
      </c>
      <c r="H183" s="136" t="s">
        <v>277</v>
      </c>
      <c r="I183" s="139">
        <v>0</v>
      </c>
      <c r="J183" s="139">
        <v>0</v>
      </c>
      <c r="K183" s="139">
        <v>4648709</v>
      </c>
      <c r="L183" s="139">
        <v>0</v>
      </c>
      <c r="M183" s="139">
        <v>0</v>
      </c>
      <c r="N183" s="139">
        <v>4648709</v>
      </c>
      <c r="O183" s="139">
        <v>0</v>
      </c>
      <c r="P183" s="139">
        <v>0</v>
      </c>
      <c r="Q183" s="139">
        <v>4648709</v>
      </c>
      <c r="R183" s="139">
        <v>0</v>
      </c>
      <c r="S183" s="139">
        <v>0</v>
      </c>
      <c r="T183" s="139">
        <v>4648709</v>
      </c>
      <c r="U183" s="139">
        <f>SUM(I183:T183)</f>
        <v>18594836</v>
      </c>
      <c r="V183" s="145">
        <f>'CAP15.1-Allocations'!$C$366*'CAP15.1-Allocations'!$C$365</f>
        <v>0.482469333</v>
      </c>
      <c r="W183" s="145">
        <f>'CAP15.1-Allocations'!$D$366*'CAP15.1-Allocations'!$C$375</f>
        <v>0.14308510700000002</v>
      </c>
      <c r="X183" s="131">
        <f t="shared" ref="X183" si="75">U183*V183</f>
        <v>8971438.1221643873</v>
      </c>
      <c r="Y183" s="131">
        <f t="shared" ref="Y183" si="76">W183*U183</f>
        <v>2660644.0987074524</v>
      </c>
      <c r="Z183" s="217">
        <f>IF(X183&gt;'Major critera'!$B$4,X183,0)</f>
        <v>8971438.1221643873</v>
      </c>
      <c r="AA183" s="217">
        <f>IF(Y183&gt;'Major critera'!$C$4,Y183,0)</f>
        <v>2660644.0987074524</v>
      </c>
    </row>
    <row r="184" spans="1:27" outlineLevel="2">
      <c r="A184" s="136" t="s">
        <v>234</v>
      </c>
      <c r="B184" s="136" t="s">
        <v>203</v>
      </c>
      <c r="C184" s="136" t="s">
        <v>41</v>
      </c>
      <c r="D184" s="137" t="s">
        <v>483</v>
      </c>
      <c r="E184" s="138">
        <v>5006</v>
      </c>
      <c r="F184" s="136" t="s">
        <v>140</v>
      </c>
      <c r="G184" s="136" t="s">
        <v>212</v>
      </c>
      <c r="H184" s="136" t="s">
        <v>276</v>
      </c>
      <c r="I184" s="139">
        <v>12917</v>
      </c>
      <c r="J184" s="139">
        <v>12917</v>
      </c>
      <c r="K184" s="139">
        <v>1478939</v>
      </c>
      <c r="L184" s="139">
        <v>12917</v>
      </c>
      <c r="M184" s="139">
        <v>12917</v>
      </c>
      <c r="N184" s="139">
        <v>1478939</v>
      </c>
      <c r="O184" s="139">
        <v>12917</v>
      </c>
      <c r="P184" s="139">
        <v>12917</v>
      </c>
      <c r="Q184" s="139">
        <v>1478939</v>
      </c>
      <c r="R184" s="139">
        <v>12917</v>
      </c>
      <c r="S184" s="139">
        <v>12917</v>
      </c>
      <c r="T184" s="139">
        <v>1528939</v>
      </c>
      <c r="U184" s="139">
        <f>SUM(I184:T184)</f>
        <v>6069092</v>
      </c>
      <c r="V184" s="145">
        <f>'CAP15.1-Allocations'!$C$366*'CAP15.1-Allocations'!$C$365</f>
        <v>0.482469333</v>
      </c>
      <c r="W184" s="145">
        <f>'CAP15.1-Allocations'!$D$366*'CAP15.1-Allocations'!$C$375</f>
        <v>0.14308510700000002</v>
      </c>
      <c r="X184" s="131">
        <f t="shared" ref="X184:X192" si="77">U184*V184</f>
        <v>2928150.769155636</v>
      </c>
      <c r="Y184" s="131">
        <f t="shared" ref="Y184:Y192" si="78">W184*U184</f>
        <v>868396.67821284407</v>
      </c>
      <c r="Z184" s="217">
        <f>IF(X184&gt;'Major critera'!$B$4,X184,0)</f>
        <v>0</v>
      </c>
      <c r="AA184" s="217">
        <f>IF(Y184&gt;'Major critera'!$C$4,Y184,0)</f>
        <v>0</v>
      </c>
    </row>
    <row r="185" spans="1:27" outlineLevel="2">
      <c r="A185" s="136" t="s">
        <v>234</v>
      </c>
      <c r="B185" s="136" t="s">
        <v>203</v>
      </c>
      <c r="C185" s="136" t="s">
        <v>41</v>
      </c>
      <c r="D185" s="137" t="s">
        <v>484</v>
      </c>
      <c r="E185" s="138">
        <v>5010</v>
      </c>
      <c r="F185" s="136" t="s">
        <v>140</v>
      </c>
      <c r="G185" s="136" t="s">
        <v>4</v>
      </c>
      <c r="H185" s="136" t="s">
        <v>276</v>
      </c>
      <c r="I185" s="139">
        <v>0</v>
      </c>
      <c r="J185" s="139">
        <v>0</v>
      </c>
      <c r="K185" s="139">
        <v>112500</v>
      </c>
      <c r="L185" s="139">
        <v>0</v>
      </c>
      <c r="M185" s="139">
        <v>0</v>
      </c>
      <c r="N185" s="139">
        <v>112500</v>
      </c>
      <c r="O185" s="139">
        <v>0</v>
      </c>
      <c r="P185" s="139">
        <v>0</v>
      </c>
      <c r="Q185" s="139">
        <v>112500</v>
      </c>
      <c r="R185" s="139">
        <v>0</v>
      </c>
      <c r="S185" s="139">
        <v>0</v>
      </c>
      <c r="T185" s="139">
        <v>112500</v>
      </c>
      <c r="U185" s="139">
        <f>SUM(I185:T185)</f>
        <v>450000</v>
      </c>
      <c r="V185" s="145">
        <f>'CAP15.1-Allocations'!$C$366*'CAP15.1-Allocations'!$C$365</f>
        <v>0.482469333</v>
      </c>
      <c r="W185" s="145">
        <f>'CAP15.1-Allocations'!$D$366*'CAP15.1-Allocations'!$C$375</f>
        <v>0.14308510700000002</v>
      </c>
      <c r="X185" s="131">
        <f t="shared" si="77"/>
        <v>217111.19985</v>
      </c>
      <c r="Y185" s="131">
        <f t="shared" si="78"/>
        <v>64388.29815000001</v>
      </c>
      <c r="Z185" s="217">
        <f>IF(X185&gt;'Major critera'!$B$4,X185,0)</f>
        <v>0</v>
      </c>
      <c r="AA185" s="217">
        <f>IF(Y185&gt;'Major critera'!$C$4,Y185,0)</f>
        <v>0</v>
      </c>
    </row>
    <row r="186" spans="1:27" outlineLevel="2">
      <c r="A186" s="136" t="s">
        <v>234</v>
      </c>
      <c r="B186" s="136" t="s">
        <v>203</v>
      </c>
      <c r="C186" s="136" t="s">
        <v>41</v>
      </c>
      <c r="D186" s="137" t="s">
        <v>485</v>
      </c>
      <c r="E186" s="138">
        <v>5138</v>
      </c>
      <c r="F186" s="136" t="s">
        <v>140</v>
      </c>
      <c r="G186" s="136" t="s">
        <v>197</v>
      </c>
      <c r="H186" s="136" t="s">
        <v>278</v>
      </c>
      <c r="I186" s="139">
        <v>0</v>
      </c>
      <c r="J186" s="139">
        <v>83819844</v>
      </c>
      <c r="K186" s="139">
        <v>4000000</v>
      </c>
      <c r="L186" s="139">
        <v>2600000</v>
      </c>
      <c r="M186" s="139">
        <v>4688477</v>
      </c>
      <c r="N186" s="139">
        <v>0</v>
      </c>
      <c r="O186" s="139">
        <v>0</v>
      </c>
      <c r="P186" s="139">
        <v>0</v>
      </c>
      <c r="Q186" s="139">
        <v>0</v>
      </c>
      <c r="R186" s="139">
        <v>0</v>
      </c>
      <c r="S186" s="139">
        <v>0</v>
      </c>
      <c r="T186" s="139">
        <v>0</v>
      </c>
      <c r="U186" s="139">
        <f>SUM(I186:T186)</f>
        <v>95108321</v>
      </c>
      <c r="V186" s="145">
        <f>'CAP15.1-Allocations'!$C$366*'CAP15.1-Allocations'!$C$365</f>
        <v>0.482469333</v>
      </c>
      <c r="W186" s="145">
        <f>'CAP15.1-Allocations'!$D$366*'CAP15.1-Allocations'!$C$375</f>
        <v>0.14308510700000002</v>
      </c>
      <c r="X186" s="131">
        <f t="shared" si="77"/>
        <v>45886848.195619896</v>
      </c>
      <c r="Y186" s="131">
        <f t="shared" si="78"/>
        <v>13608584.286875349</v>
      </c>
      <c r="Z186" s="217">
        <f>IF(X186&gt;'Major critera'!$B$4,X186,0)</f>
        <v>45886848.195619896</v>
      </c>
      <c r="AA186" s="217">
        <f>IF(Y186&gt;'Major critera'!$C$4,Y186,0)</f>
        <v>13608584.286875349</v>
      </c>
    </row>
    <row r="187" spans="1:27" outlineLevel="2">
      <c r="A187" s="136"/>
      <c r="B187" s="136"/>
      <c r="C187" s="136"/>
      <c r="D187" s="137"/>
      <c r="E187" s="138"/>
      <c r="F187" s="136"/>
      <c r="G187" s="136"/>
      <c r="H187" s="136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45">
        <f>'CAP15.1-Allocations'!$C$366*'CAP15.1-Allocations'!$C$365</f>
        <v>0.482469333</v>
      </c>
      <c r="W187" s="145">
        <f>'CAP15.1-Allocations'!$D$366*'CAP15.1-Allocations'!$C$375</f>
        <v>0.14308510700000002</v>
      </c>
      <c r="X187" s="131">
        <f t="shared" si="77"/>
        <v>0</v>
      </c>
      <c r="Y187" s="131">
        <f t="shared" si="78"/>
        <v>0</v>
      </c>
      <c r="Z187" s="217">
        <f>IF(X187&gt;'Major critera'!$B$4,X187,0)</f>
        <v>0</v>
      </c>
      <c r="AA187" s="217">
        <f>IF(Y187&gt;'Major critera'!$C$4,Y187,0)</f>
        <v>0</v>
      </c>
    </row>
    <row r="188" spans="1:27" outlineLevel="2">
      <c r="A188" s="136" t="s">
        <v>234</v>
      </c>
      <c r="B188" s="136" t="s">
        <v>203</v>
      </c>
      <c r="C188" s="136" t="s">
        <v>41</v>
      </c>
      <c r="D188" s="137" t="s">
        <v>486</v>
      </c>
      <c r="E188" s="138">
        <v>5143</v>
      </c>
      <c r="F188" s="136" t="s">
        <v>140</v>
      </c>
      <c r="G188" s="136" t="s">
        <v>237</v>
      </c>
      <c r="H188" s="136" t="s">
        <v>278</v>
      </c>
      <c r="I188" s="139">
        <v>0</v>
      </c>
      <c r="J188" s="139">
        <v>0</v>
      </c>
      <c r="K188" s="139">
        <v>0</v>
      </c>
      <c r="L188" s="139">
        <v>0</v>
      </c>
      <c r="M188" s="139">
        <v>0</v>
      </c>
      <c r="N188" s="139">
        <v>0</v>
      </c>
      <c r="O188" s="139">
        <v>0</v>
      </c>
      <c r="P188" s="139">
        <v>0</v>
      </c>
      <c r="Q188" s="139">
        <v>0</v>
      </c>
      <c r="R188" s="139">
        <v>0</v>
      </c>
      <c r="S188" s="139">
        <v>4124999</v>
      </c>
      <c r="T188" s="139">
        <v>0</v>
      </c>
      <c r="U188" s="139">
        <f>SUM(I188:T188)</f>
        <v>4124999</v>
      </c>
      <c r="V188" s="145">
        <f>'CAP15.1-Allocations'!$C$366*'CAP15.1-Allocations'!$C$365</f>
        <v>0.482469333</v>
      </c>
      <c r="W188" s="145">
        <f>'CAP15.1-Allocations'!$D$366*'CAP15.1-Allocations'!$C$375</f>
        <v>0.14308510700000002</v>
      </c>
      <c r="X188" s="131">
        <f t="shared" si="77"/>
        <v>1990185.5161556669</v>
      </c>
      <c r="Y188" s="131">
        <f t="shared" si="78"/>
        <v>590225.92328989308</v>
      </c>
      <c r="Z188" s="217">
        <f>IF(X188&gt;'Major critera'!$B$4,X188,0)</f>
        <v>0</v>
      </c>
      <c r="AA188" s="217">
        <f>IF(Y188&gt;'Major critera'!$C$4,Y188,0)</f>
        <v>0</v>
      </c>
    </row>
    <row r="189" spans="1:27" outlineLevel="2">
      <c r="A189" s="136" t="s">
        <v>234</v>
      </c>
      <c r="B189" s="136" t="s">
        <v>203</v>
      </c>
      <c r="C189" s="136" t="s">
        <v>41</v>
      </c>
      <c r="D189" s="137" t="s">
        <v>226</v>
      </c>
      <c r="E189" s="138">
        <v>5144</v>
      </c>
      <c r="F189" s="136" t="s">
        <v>140</v>
      </c>
      <c r="G189" s="136" t="s">
        <v>226</v>
      </c>
      <c r="H189" s="136" t="s">
        <v>278</v>
      </c>
      <c r="I189" s="139">
        <v>0</v>
      </c>
      <c r="J189" s="139">
        <v>0</v>
      </c>
      <c r="K189" s="139">
        <v>112500</v>
      </c>
      <c r="L189" s="139">
        <v>0</v>
      </c>
      <c r="M189" s="139">
        <v>0</v>
      </c>
      <c r="N189" s="139">
        <v>112500</v>
      </c>
      <c r="O189" s="139">
        <v>0</v>
      </c>
      <c r="P189" s="139">
        <v>0</v>
      </c>
      <c r="Q189" s="139">
        <v>112500</v>
      </c>
      <c r="R189" s="139">
        <v>0</v>
      </c>
      <c r="S189" s="139">
        <v>0</v>
      </c>
      <c r="T189" s="139">
        <v>112500</v>
      </c>
      <c r="U189" s="139">
        <f>SUM(I189:T189)</f>
        <v>450000</v>
      </c>
      <c r="V189" s="145">
        <f>'CAP15.1-Allocations'!$C$366*'CAP15.1-Allocations'!$C$365</f>
        <v>0.482469333</v>
      </c>
      <c r="W189" s="145">
        <f>'CAP15.1-Allocations'!$D$366*'CAP15.1-Allocations'!$C$375</f>
        <v>0.14308510700000002</v>
      </c>
      <c r="X189" s="131">
        <f t="shared" si="77"/>
        <v>217111.19985</v>
      </c>
      <c r="Y189" s="131">
        <f t="shared" si="78"/>
        <v>64388.29815000001</v>
      </c>
      <c r="Z189" s="217">
        <f>IF(X189&gt;'Major critera'!$B$4,X189,0)</f>
        <v>0</v>
      </c>
      <c r="AA189" s="217">
        <f>IF(Y189&gt;'Major critera'!$C$4,Y189,0)</f>
        <v>0</v>
      </c>
    </row>
    <row r="190" spans="1:27" outlineLevel="2">
      <c r="A190" s="136" t="s">
        <v>234</v>
      </c>
      <c r="B190" s="136" t="s">
        <v>203</v>
      </c>
      <c r="C190" s="136" t="s">
        <v>41</v>
      </c>
      <c r="D190" s="137" t="s">
        <v>336</v>
      </c>
      <c r="E190" s="138">
        <v>5147</v>
      </c>
      <c r="F190" s="136" t="s">
        <v>140</v>
      </c>
      <c r="G190" s="136" t="s">
        <v>336</v>
      </c>
      <c r="H190" s="136" t="s">
        <v>278</v>
      </c>
      <c r="I190" s="139">
        <v>0</v>
      </c>
      <c r="J190" s="139">
        <v>0</v>
      </c>
      <c r="K190" s="139">
        <v>0</v>
      </c>
      <c r="L190" s="139">
        <v>0</v>
      </c>
      <c r="M190" s="139">
        <v>0</v>
      </c>
      <c r="N190" s="139">
        <v>0</v>
      </c>
      <c r="O190" s="139">
        <v>0</v>
      </c>
      <c r="P190" s="139">
        <v>0</v>
      </c>
      <c r="Q190" s="139">
        <v>0</v>
      </c>
      <c r="R190" s="139">
        <v>0</v>
      </c>
      <c r="S190" s="139">
        <v>0</v>
      </c>
      <c r="T190" s="139">
        <v>0</v>
      </c>
      <c r="U190" s="139">
        <f>SUM(I190:T190)</f>
        <v>0</v>
      </c>
      <c r="V190" s="145">
        <f>'CAP15.1-Allocations'!$C$366*'CAP15.1-Allocations'!$C$365</f>
        <v>0.482469333</v>
      </c>
      <c r="W190" s="145">
        <f>'CAP15.1-Allocations'!$D$366*'CAP15.1-Allocations'!$C$375</f>
        <v>0.14308510700000002</v>
      </c>
      <c r="X190" s="131">
        <f t="shared" si="77"/>
        <v>0</v>
      </c>
      <c r="Y190" s="131">
        <f t="shared" si="78"/>
        <v>0</v>
      </c>
      <c r="Z190" s="217">
        <f>IF(X190&gt;'Major critera'!$B$4,X190,0)</f>
        <v>0</v>
      </c>
      <c r="AA190" s="217">
        <f>IF(Y190&gt;'Major critera'!$C$4,Y190,0)</f>
        <v>0</v>
      </c>
    </row>
    <row r="191" spans="1:27" outlineLevel="2">
      <c r="A191" s="136" t="s">
        <v>234</v>
      </c>
      <c r="B191" s="136" t="s">
        <v>203</v>
      </c>
      <c r="C191" s="136" t="s">
        <v>41</v>
      </c>
      <c r="D191" s="137" t="s">
        <v>337</v>
      </c>
      <c r="E191" s="138">
        <v>5149</v>
      </c>
      <c r="F191" s="136" t="s">
        <v>140</v>
      </c>
      <c r="G191" s="136" t="s">
        <v>337</v>
      </c>
      <c r="H191" s="136" t="s">
        <v>278</v>
      </c>
      <c r="I191" s="139">
        <v>0</v>
      </c>
      <c r="J191" s="139">
        <v>0</v>
      </c>
      <c r="K191" s="139">
        <v>0</v>
      </c>
      <c r="L191" s="139">
        <v>0</v>
      </c>
      <c r="M191" s="139">
        <v>0</v>
      </c>
      <c r="N191" s="139">
        <v>0</v>
      </c>
      <c r="O191" s="139">
        <v>0</v>
      </c>
      <c r="P191" s="139">
        <v>0</v>
      </c>
      <c r="Q191" s="139">
        <v>0</v>
      </c>
      <c r="R191" s="139">
        <v>0</v>
      </c>
      <c r="S191" s="139">
        <v>0</v>
      </c>
      <c r="T191" s="139">
        <v>0</v>
      </c>
      <c r="U191" s="139">
        <f>SUM(I191:T191)</f>
        <v>0</v>
      </c>
      <c r="V191" s="145">
        <f>'CAP15.1-Allocations'!$C$366*'CAP15.1-Allocations'!$C$365</f>
        <v>0.482469333</v>
      </c>
      <c r="W191" s="145">
        <f>'CAP15.1-Allocations'!$D$366*'CAP15.1-Allocations'!$C$375</f>
        <v>0.14308510700000002</v>
      </c>
      <c r="X191" s="131">
        <f t="shared" si="77"/>
        <v>0</v>
      </c>
      <c r="Y191" s="131">
        <f t="shared" si="78"/>
        <v>0</v>
      </c>
      <c r="Z191" s="217">
        <f>IF(X191&gt;'Major critera'!$B$4,X191,0)</f>
        <v>0</v>
      </c>
      <c r="AA191" s="217">
        <f>IF(Y191&gt;'Major critera'!$C$4,Y191,0)</f>
        <v>0</v>
      </c>
    </row>
    <row r="192" spans="1:27" outlineLevel="2">
      <c r="A192" s="136" t="s">
        <v>234</v>
      </c>
      <c r="B192" s="136" t="s">
        <v>203</v>
      </c>
      <c r="C192" s="136" t="s">
        <v>41</v>
      </c>
      <c r="D192" s="137" t="s">
        <v>487</v>
      </c>
      <c r="E192" s="138">
        <v>7200</v>
      </c>
      <c r="F192" s="136" t="s">
        <v>142</v>
      </c>
      <c r="G192" s="136" t="s">
        <v>75</v>
      </c>
      <c r="H192" s="136" t="s">
        <v>276</v>
      </c>
      <c r="I192" s="139">
        <v>5000</v>
      </c>
      <c r="J192" s="139">
        <v>5000</v>
      </c>
      <c r="K192" s="139">
        <v>5000</v>
      </c>
      <c r="L192" s="139">
        <v>5000</v>
      </c>
      <c r="M192" s="139">
        <v>5000</v>
      </c>
      <c r="N192" s="139">
        <v>5000</v>
      </c>
      <c r="O192" s="139">
        <v>5000</v>
      </c>
      <c r="P192" s="139">
        <v>5000</v>
      </c>
      <c r="Q192" s="139">
        <v>5000</v>
      </c>
      <c r="R192" s="139">
        <v>5000</v>
      </c>
      <c r="S192" s="139">
        <v>5000</v>
      </c>
      <c r="T192" s="139">
        <v>5000</v>
      </c>
      <c r="U192" s="139">
        <f>SUM(I192:T192)</f>
        <v>60000</v>
      </c>
      <c r="V192" s="145">
        <f>'CAP15.1-Allocations'!$C$366*'CAP15.1-Allocations'!$C$365</f>
        <v>0.482469333</v>
      </c>
      <c r="W192" s="145">
        <f>'CAP15.1-Allocations'!$D$366*'CAP15.1-Allocations'!$C$375</f>
        <v>0.14308510700000002</v>
      </c>
      <c r="X192" s="131">
        <f t="shared" si="77"/>
        <v>28948.15998</v>
      </c>
      <c r="Y192" s="131">
        <f t="shared" si="78"/>
        <v>8585.1064200000019</v>
      </c>
      <c r="Z192" s="217">
        <f>IF(X192&gt;'Major critera'!$B$4,X192,0)</f>
        <v>0</v>
      </c>
      <c r="AA192" s="217">
        <f>IF(Y192&gt;'Major critera'!$C$4,Y192,0)</f>
        <v>0</v>
      </c>
    </row>
    <row r="193" spans="1:40" s="135" customFormat="1" outlineLevel="1">
      <c r="A193" s="154"/>
      <c r="B193" s="154"/>
      <c r="C193" s="155" t="s">
        <v>297</v>
      </c>
      <c r="D193" s="185"/>
      <c r="E193" s="155"/>
      <c r="F193" s="154"/>
      <c r="G193" s="154"/>
      <c r="H193" s="154"/>
      <c r="I193" s="186">
        <f t="shared" ref="I193:T193" si="79">SUBTOTAL(9,I183:I192)</f>
        <v>17917</v>
      </c>
      <c r="J193" s="186">
        <f t="shared" si="79"/>
        <v>83837761</v>
      </c>
      <c r="K193" s="186">
        <f t="shared" si="79"/>
        <v>10357648</v>
      </c>
      <c r="L193" s="186">
        <f t="shared" si="79"/>
        <v>2617917</v>
      </c>
      <c r="M193" s="186">
        <f t="shared" si="79"/>
        <v>4706394</v>
      </c>
      <c r="N193" s="186">
        <f t="shared" si="79"/>
        <v>6357648</v>
      </c>
      <c r="O193" s="186">
        <f t="shared" si="79"/>
        <v>17917</v>
      </c>
      <c r="P193" s="186">
        <f t="shared" si="79"/>
        <v>17917</v>
      </c>
      <c r="Q193" s="186">
        <f t="shared" si="79"/>
        <v>6357648</v>
      </c>
      <c r="R193" s="186">
        <f t="shared" si="79"/>
        <v>17917</v>
      </c>
      <c r="S193" s="186">
        <f t="shared" si="79"/>
        <v>4142916</v>
      </c>
      <c r="T193" s="186">
        <f t="shared" si="79"/>
        <v>6407648</v>
      </c>
      <c r="U193" s="186">
        <f>SUBTOTAL(9,U183:U192)</f>
        <v>124857248</v>
      </c>
      <c r="V193" s="124"/>
    </row>
    <row r="194" spans="1:40" outlineLevel="2">
      <c r="A194" s="136" t="s">
        <v>234</v>
      </c>
      <c r="B194" s="136" t="s">
        <v>203</v>
      </c>
      <c r="C194" s="136" t="s">
        <v>46</v>
      </c>
      <c r="D194" s="137" t="s">
        <v>338</v>
      </c>
      <c r="E194" s="138">
        <v>5150</v>
      </c>
      <c r="F194" s="136" t="s">
        <v>140</v>
      </c>
      <c r="G194" s="136" t="s">
        <v>338</v>
      </c>
      <c r="H194" s="136" t="s">
        <v>278</v>
      </c>
      <c r="I194" s="139">
        <v>0</v>
      </c>
      <c r="J194" s="139">
        <v>0</v>
      </c>
      <c r="K194" s="139">
        <v>0</v>
      </c>
      <c r="L194" s="139">
        <v>0</v>
      </c>
      <c r="M194" s="139">
        <v>0</v>
      </c>
      <c r="N194" s="139">
        <v>0</v>
      </c>
      <c r="O194" s="139">
        <v>0</v>
      </c>
      <c r="P194" s="139">
        <v>0</v>
      </c>
      <c r="Q194" s="139">
        <v>0</v>
      </c>
      <c r="R194" s="139">
        <v>0</v>
      </c>
      <c r="S194" s="139">
        <v>0</v>
      </c>
      <c r="T194" s="139">
        <v>0</v>
      </c>
      <c r="U194" s="139">
        <f>SUM(I194:T194)</f>
        <v>0</v>
      </c>
    </row>
    <row r="195" spans="1:40" s="135" customFormat="1" outlineLevel="1">
      <c r="A195" s="154"/>
      <c r="B195" s="154"/>
      <c r="C195" s="154" t="s">
        <v>295</v>
      </c>
      <c r="D195" s="185"/>
      <c r="E195" s="155"/>
      <c r="F195" s="154"/>
      <c r="G195" s="154"/>
      <c r="H195" s="154"/>
      <c r="I195" s="186">
        <f t="shared" ref="I195:U195" si="80">SUBTOTAL(9,I194:I194)</f>
        <v>0</v>
      </c>
      <c r="J195" s="186">
        <f t="shared" si="80"/>
        <v>0</v>
      </c>
      <c r="K195" s="186">
        <f t="shared" si="80"/>
        <v>0</v>
      </c>
      <c r="L195" s="186">
        <f t="shared" si="80"/>
        <v>0</v>
      </c>
      <c r="M195" s="186">
        <f t="shared" si="80"/>
        <v>0</v>
      </c>
      <c r="N195" s="186">
        <f t="shared" si="80"/>
        <v>0</v>
      </c>
      <c r="O195" s="186">
        <f t="shared" si="80"/>
        <v>0</v>
      </c>
      <c r="P195" s="186">
        <f t="shared" si="80"/>
        <v>0</v>
      </c>
      <c r="Q195" s="186">
        <f t="shared" si="80"/>
        <v>0</v>
      </c>
      <c r="R195" s="186">
        <f t="shared" si="80"/>
        <v>0</v>
      </c>
      <c r="S195" s="186">
        <f t="shared" si="80"/>
        <v>0</v>
      </c>
      <c r="T195" s="186">
        <f t="shared" si="80"/>
        <v>0</v>
      </c>
      <c r="U195" s="186">
        <f t="shared" si="80"/>
        <v>0</v>
      </c>
      <c r="V195" s="124"/>
    </row>
    <row r="196" spans="1:40" s="135" customFormat="1">
      <c r="A196" s="154"/>
      <c r="B196" s="154"/>
      <c r="C196" s="154" t="s">
        <v>126</v>
      </c>
      <c r="D196" s="185"/>
      <c r="E196" s="155"/>
      <c r="F196" s="154"/>
      <c r="G196" s="154"/>
      <c r="H196" s="154"/>
      <c r="I196" s="186">
        <f t="shared" ref="I196:T196" si="81">SUBTOTAL(9,I183:I194)</f>
        <v>17917</v>
      </c>
      <c r="J196" s="186">
        <f t="shared" si="81"/>
        <v>83837761</v>
      </c>
      <c r="K196" s="186">
        <f t="shared" si="81"/>
        <v>10357648</v>
      </c>
      <c r="L196" s="186">
        <f t="shared" si="81"/>
        <v>2617917</v>
      </c>
      <c r="M196" s="186">
        <f t="shared" si="81"/>
        <v>4706394</v>
      </c>
      <c r="N196" s="186">
        <f t="shared" si="81"/>
        <v>6357648</v>
      </c>
      <c r="O196" s="186">
        <f t="shared" si="81"/>
        <v>17917</v>
      </c>
      <c r="P196" s="186">
        <f t="shared" si="81"/>
        <v>17917</v>
      </c>
      <c r="Q196" s="186">
        <f t="shared" si="81"/>
        <v>6357648</v>
      </c>
      <c r="R196" s="186">
        <f t="shared" si="81"/>
        <v>17917</v>
      </c>
      <c r="S196" s="186">
        <f t="shared" si="81"/>
        <v>4142916</v>
      </c>
      <c r="T196" s="186">
        <f t="shared" si="81"/>
        <v>6407648</v>
      </c>
      <c r="U196" s="186">
        <f>SUBTOTAL(9,U183:U194)</f>
        <v>124857248</v>
      </c>
      <c r="V196" s="124"/>
    </row>
    <row r="197" spans="1:40" outlineLevel="1">
      <c r="A197" s="136"/>
      <c r="B197" s="136"/>
      <c r="C197" s="136"/>
      <c r="D197" s="137"/>
      <c r="E197" s="138"/>
      <c r="F197" s="136"/>
      <c r="G197" s="136"/>
      <c r="H197" s="136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</row>
    <row r="198" spans="1:40" outlineLevel="2">
      <c r="A198" s="136" t="s">
        <v>233</v>
      </c>
      <c r="B198" s="136" t="s">
        <v>201</v>
      </c>
      <c r="C198" s="136" t="s">
        <v>40</v>
      </c>
      <c r="D198" s="137" t="s">
        <v>488</v>
      </c>
      <c r="E198" s="138">
        <v>4116</v>
      </c>
      <c r="F198" s="136" t="s">
        <v>138</v>
      </c>
      <c r="G198" s="136" t="s">
        <v>61</v>
      </c>
      <c r="H198" s="136" t="s">
        <v>276</v>
      </c>
      <c r="I198" s="139">
        <v>39891</v>
      </c>
      <c r="J198" s="139">
        <v>39891</v>
      </c>
      <c r="K198" s="139">
        <v>59837</v>
      </c>
      <c r="L198" s="139">
        <v>69810</v>
      </c>
      <c r="M198" s="139">
        <v>79783</v>
      </c>
      <c r="N198" s="139">
        <v>119674</v>
      </c>
      <c r="O198" s="139">
        <v>119674</v>
      </c>
      <c r="P198" s="139">
        <v>109701</v>
      </c>
      <c r="Q198" s="139">
        <v>109701</v>
      </c>
      <c r="R198" s="139">
        <v>89756</v>
      </c>
      <c r="S198" s="139">
        <v>79783</v>
      </c>
      <c r="T198" s="139">
        <v>1579784</v>
      </c>
      <c r="U198" s="139">
        <f>SUM(I198:T198)</f>
        <v>2497285</v>
      </c>
      <c r="V198" s="145">
        <f>'CAP15.1-Allocations'!$C$365</f>
        <v>0.67676999999999998</v>
      </c>
      <c r="W198" s="145">
        <v>0</v>
      </c>
      <c r="X198" s="131">
        <f t="shared" ref="X198:X200" si="82">U198*V198</f>
        <v>1690087.5694500001</v>
      </c>
      <c r="Y198" s="131">
        <f t="shared" ref="Y198:Y200" si="83">W198*U198</f>
        <v>0</v>
      </c>
      <c r="Z198" s="215">
        <f>IF(X198&gt;'Major critera'!$B$4,X198,0)</f>
        <v>0</v>
      </c>
      <c r="AA198" s="215">
        <f>IF(Y198&gt;'Major critera'!$C$4,Y198,0)</f>
        <v>0</v>
      </c>
    </row>
    <row r="199" spans="1:40" outlineLevel="2">
      <c r="A199" s="136" t="s">
        <v>233</v>
      </c>
      <c r="B199" s="136" t="s">
        <v>201</v>
      </c>
      <c r="C199" s="136" t="s">
        <v>40</v>
      </c>
      <c r="D199" s="137" t="s">
        <v>332</v>
      </c>
      <c r="E199" s="138">
        <v>4168</v>
      </c>
      <c r="F199" s="136" t="s">
        <v>138</v>
      </c>
      <c r="G199" s="136" t="s">
        <v>332</v>
      </c>
      <c r="H199" s="136" t="s">
        <v>278</v>
      </c>
      <c r="I199" s="139">
        <v>0</v>
      </c>
      <c r="J199" s="139">
        <v>0</v>
      </c>
      <c r="K199" s="139">
        <v>0</v>
      </c>
      <c r="L199" s="139">
        <v>0</v>
      </c>
      <c r="M199" s="139">
        <v>0</v>
      </c>
      <c r="N199" s="139">
        <v>0</v>
      </c>
      <c r="O199" s="139">
        <v>0</v>
      </c>
      <c r="P199" s="139">
        <v>0</v>
      </c>
      <c r="Q199" s="139">
        <v>0</v>
      </c>
      <c r="R199" s="139">
        <v>0</v>
      </c>
      <c r="S199" s="139">
        <v>0</v>
      </c>
      <c r="T199" s="139">
        <v>0</v>
      </c>
      <c r="U199" s="139">
        <f>SUM(I199:T199)</f>
        <v>0</v>
      </c>
      <c r="V199" s="145">
        <f>'CAP15.1-Allocations'!$C$365</f>
        <v>0.67676999999999998</v>
      </c>
      <c r="W199" s="145">
        <v>0</v>
      </c>
      <c r="X199" s="131">
        <f t="shared" si="82"/>
        <v>0</v>
      </c>
      <c r="Y199" s="131">
        <f t="shared" si="83"/>
        <v>0</v>
      </c>
      <c r="Z199" s="215">
        <f>IF(X199&gt;'Major critera'!$B$4,X199,0)</f>
        <v>0</v>
      </c>
      <c r="AA199" s="215">
        <f>IF(Y199&gt;'Major critera'!$C$4,Y199,0)</f>
        <v>0</v>
      </c>
    </row>
    <row r="200" spans="1:40" outlineLevel="2">
      <c r="A200" s="136" t="s">
        <v>233</v>
      </c>
      <c r="B200" s="136" t="s">
        <v>201</v>
      </c>
      <c r="C200" s="136" t="s">
        <v>40</v>
      </c>
      <c r="D200" s="137" t="s">
        <v>333</v>
      </c>
      <c r="E200" s="138">
        <v>4170</v>
      </c>
      <c r="F200" s="136" t="s">
        <v>138</v>
      </c>
      <c r="G200" s="136" t="s">
        <v>333</v>
      </c>
      <c r="H200" s="136" t="s">
        <v>278</v>
      </c>
      <c r="I200" s="139">
        <v>0</v>
      </c>
      <c r="J200" s="139">
        <v>0</v>
      </c>
      <c r="K200" s="139">
        <v>0</v>
      </c>
      <c r="L200" s="139">
        <v>0</v>
      </c>
      <c r="M200" s="139">
        <v>0</v>
      </c>
      <c r="N200" s="139">
        <v>0</v>
      </c>
      <c r="O200" s="139">
        <v>0</v>
      </c>
      <c r="P200" s="139">
        <v>0</v>
      </c>
      <c r="Q200" s="139">
        <v>0</v>
      </c>
      <c r="R200" s="139">
        <v>0</v>
      </c>
      <c r="S200" s="139">
        <v>0</v>
      </c>
      <c r="T200" s="139">
        <v>0</v>
      </c>
      <c r="U200" s="139">
        <f>SUM(I200:T200)</f>
        <v>0</v>
      </c>
      <c r="V200" s="145">
        <f>'CAP15.1-Allocations'!$C$365</f>
        <v>0.67676999999999998</v>
      </c>
      <c r="W200" s="145">
        <v>0</v>
      </c>
      <c r="X200" s="131">
        <f t="shared" si="82"/>
        <v>0</v>
      </c>
      <c r="Y200" s="131">
        <f t="shared" si="83"/>
        <v>0</v>
      </c>
      <c r="Z200" s="215">
        <f>IF(X200&gt;'Major critera'!$B$4,X200,0)</f>
        <v>0</v>
      </c>
      <c r="AA200" s="215">
        <f>IF(Y200&gt;'Major critera'!$C$4,Y200,0)</f>
        <v>0</v>
      </c>
    </row>
    <row r="201" spans="1:40" s="135" customFormat="1" outlineLevel="1">
      <c r="A201" s="154" t="s">
        <v>292</v>
      </c>
      <c r="B201" s="154"/>
      <c r="C201" s="154"/>
      <c r="D201" s="185"/>
      <c r="E201" s="155"/>
      <c r="F201" s="154"/>
      <c r="G201" s="154"/>
      <c r="H201" s="154"/>
      <c r="I201" s="186">
        <f t="shared" ref="I201:U201" si="84">SUBTOTAL(9,I198:I200)</f>
        <v>39891</v>
      </c>
      <c r="J201" s="186">
        <f t="shared" si="84"/>
        <v>39891</v>
      </c>
      <c r="K201" s="186">
        <f t="shared" si="84"/>
        <v>59837</v>
      </c>
      <c r="L201" s="186">
        <f t="shared" si="84"/>
        <v>69810</v>
      </c>
      <c r="M201" s="186">
        <f t="shared" si="84"/>
        <v>79783</v>
      </c>
      <c r="N201" s="186">
        <f t="shared" si="84"/>
        <v>119674</v>
      </c>
      <c r="O201" s="186">
        <f t="shared" si="84"/>
        <v>119674</v>
      </c>
      <c r="P201" s="186">
        <f t="shared" si="84"/>
        <v>109701</v>
      </c>
      <c r="Q201" s="186">
        <f t="shared" si="84"/>
        <v>109701</v>
      </c>
      <c r="R201" s="186">
        <f t="shared" si="84"/>
        <v>89756</v>
      </c>
      <c r="S201" s="186">
        <f t="shared" si="84"/>
        <v>79783</v>
      </c>
      <c r="T201" s="186">
        <f t="shared" si="84"/>
        <v>1579784</v>
      </c>
      <c r="U201" s="186">
        <f t="shared" si="84"/>
        <v>2497285</v>
      </c>
      <c r="V201" s="124"/>
    </row>
    <row r="202" spans="1:40" outlineLevel="1">
      <c r="A202" s="136"/>
      <c r="B202" s="136"/>
      <c r="C202" s="136"/>
      <c r="D202" s="137"/>
      <c r="E202" s="138"/>
      <c r="F202" s="136"/>
      <c r="G202" s="136"/>
      <c r="H202" s="136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</row>
    <row r="203" spans="1:40" outlineLevel="2">
      <c r="A203" s="136" t="s">
        <v>238</v>
      </c>
      <c r="B203" s="136" t="s">
        <v>203</v>
      </c>
      <c r="C203" s="136" t="s">
        <v>41</v>
      </c>
      <c r="D203" s="137" t="s">
        <v>489</v>
      </c>
      <c r="E203" s="138">
        <v>7000</v>
      </c>
      <c r="F203" s="136" t="s">
        <v>142</v>
      </c>
      <c r="G203" s="136" t="s">
        <v>69</v>
      </c>
      <c r="H203" s="136" t="s">
        <v>276</v>
      </c>
      <c r="I203" s="139">
        <v>643409</v>
      </c>
      <c r="J203" s="139">
        <v>641463</v>
      </c>
      <c r="K203" s="139">
        <v>641280</v>
      </c>
      <c r="L203" s="139">
        <v>641439</v>
      </c>
      <c r="M203" s="139">
        <v>641577</v>
      </c>
      <c r="N203" s="139">
        <v>641199</v>
      </c>
      <c r="O203" s="139">
        <v>643444</v>
      </c>
      <c r="P203" s="139">
        <v>640980</v>
      </c>
      <c r="Q203" s="139">
        <v>641126</v>
      </c>
      <c r="R203" s="139">
        <v>641513</v>
      </c>
      <c r="S203" s="139">
        <v>641575</v>
      </c>
      <c r="T203" s="139">
        <v>640995</v>
      </c>
      <c r="U203" s="139">
        <f>SUM(I203:T203)</f>
        <v>7700000</v>
      </c>
      <c r="V203" s="145">
        <f>'CAP15.1-Allocations'!$C$366*'CAP15.1-Allocations'!$C$365</f>
        <v>0.482469333</v>
      </c>
      <c r="W203" s="145">
        <f>'CAP15.1-Allocations'!D$366*'CAP15.1-Allocations'!C$375</f>
        <v>0.14308510700000002</v>
      </c>
      <c r="X203" s="131">
        <f t="shared" ref="X203:X204" si="85">U203*V203</f>
        <v>3715013.8640999999</v>
      </c>
      <c r="Y203" s="131">
        <f t="shared" ref="Y203:Y204" si="86">W203*U203</f>
        <v>1101755.3239000002</v>
      </c>
      <c r="Z203" s="215">
        <f>IF(X203&gt;'Major critera'!$B$4,X203,0)</f>
        <v>0</v>
      </c>
      <c r="AA203" s="215">
        <f>IF(Y203&gt;'Major critera'!$C$4,Y203,0)</f>
        <v>0</v>
      </c>
    </row>
    <row r="204" spans="1:40" outlineLevel="2">
      <c r="A204" s="136" t="s">
        <v>238</v>
      </c>
      <c r="B204" s="136" t="s">
        <v>203</v>
      </c>
      <c r="C204" s="136" t="s">
        <v>41</v>
      </c>
      <c r="D204" s="137" t="s">
        <v>227</v>
      </c>
      <c r="E204" s="138">
        <v>7127</v>
      </c>
      <c r="F204" s="136" t="s">
        <v>142</v>
      </c>
      <c r="G204" s="136" t="s">
        <v>227</v>
      </c>
      <c r="H204" s="136" t="s">
        <v>278</v>
      </c>
      <c r="I204" s="139">
        <v>0</v>
      </c>
      <c r="J204" s="139">
        <v>0</v>
      </c>
      <c r="K204" s="139">
        <v>0</v>
      </c>
      <c r="L204" s="139">
        <v>0</v>
      </c>
      <c r="M204" s="139">
        <v>0</v>
      </c>
      <c r="N204" s="139">
        <v>0</v>
      </c>
      <c r="O204" s="139">
        <v>0</v>
      </c>
      <c r="P204" s="139">
        <v>0</v>
      </c>
      <c r="Q204" s="139">
        <v>0</v>
      </c>
      <c r="R204" s="139">
        <v>0</v>
      </c>
      <c r="S204" s="139">
        <v>0</v>
      </c>
      <c r="T204" s="139">
        <v>0</v>
      </c>
      <c r="U204" s="139">
        <f>SUM(I204:T204)</f>
        <v>0</v>
      </c>
      <c r="V204" s="145">
        <f>'CAP15.1-Allocations'!$C$366*'CAP15.1-Allocations'!$C$365</f>
        <v>0.482469333</v>
      </c>
      <c r="W204" s="145">
        <f>'CAP15.1-Allocations'!D$366*'CAP15.1-Allocations'!C$375</f>
        <v>0.14308510700000002</v>
      </c>
      <c r="X204" s="131">
        <f t="shared" si="85"/>
        <v>0</v>
      </c>
      <c r="Y204" s="131">
        <f t="shared" si="86"/>
        <v>0</v>
      </c>
      <c r="Z204" s="215">
        <f>IF(X204&gt;'Major critera'!$B$4,X204,0)</f>
        <v>0</v>
      </c>
      <c r="AA204" s="215">
        <f>IF(Y204&gt;'Major critera'!$C$4,Y204,0)</f>
        <v>0</v>
      </c>
    </row>
    <row r="205" spans="1:40" s="135" customFormat="1" outlineLevel="1">
      <c r="A205" s="154" t="s">
        <v>293</v>
      </c>
      <c r="B205" s="154"/>
      <c r="C205" s="154"/>
      <c r="D205" s="185"/>
      <c r="E205" s="155"/>
      <c r="F205" s="154"/>
      <c r="G205" s="154"/>
      <c r="H205" s="154"/>
      <c r="I205" s="186">
        <f t="shared" ref="I205:U205" si="87">SUBTOTAL(9,I203:I204)</f>
        <v>643409</v>
      </c>
      <c r="J205" s="186">
        <f t="shared" si="87"/>
        <v>641463</v>
      </c>
      <c r="K205" s="186">
        <f t="shared" si="87"/>
        <v>641280</v>
      </c>
      <c r="L205" s="186">
        <f t="shared" si="87"/>
        <v>641439</v>
      </c>
      <c r="M205" s="186">
        <f t="shared" si="87"/>
        <v>641577</v>
      </c>
      <c r="N205" s="186">
        <f t="shared" si="87"/>
        <v>641199</v>
      </c>
      <c r="O205" s="186">
        <f t="shared" si="87"/>
        <v>643444</v>
      </c>
      <c r="P205" s="186">
        <f t="shared" si="87"/>
        <v>640980</v>
      </c>
      <c r="Q205" s="186">
        <f t="shared" si="87"/>
        <v>641126</v>
      </c>
      <c r="R205" s="186">
        <f t="shared" si="87"/>
        <v>641513</v>
      </c>
      <c r="S205" s="186">
        <f t="shared" si="87"/>
        <v>641575</v>
      </c>
      <c r="T205" s="186">
        <f t="shared" si="87"/>
        <v>640995</v>
      </c>
      <c r="U205" s="186">
        <f t="shared" si="87"/>
        <v>7700000</v>
      </c>
      <c r="V205" s="124"/>
    </row>
    <row r="206" spans="1:40" outlineLevel="1">
      <c r="A206" s="148"/>
      <c r="B206" s="148"/>
      <c r="C206" s="148"/>
      <c r="D206" s="148"/>
      <c r="E206" s="148"/>
      <c r="F206" s="148"/>
      <c r="G206" s="148"/>
      <c r="H206" s="148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50"/>
      <c r="V206" s="140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</row>
    <row r="207" spans="1:40" outlineLevel="1">
      <c r="A207" s="148" t="s">
        <v>126</v>
      </c>
      <c r="B207" s="148"/>
      <c r="C207" s="148"/>
      <c r="D207" s="148"/>
      <c r="E207" s="148"/>
      <c r="F207" s="148"/>
      <c r="G207" s="148"/>
      <c r="H207" s="148"/>
      <c r="I207" s="149">
        <f t="shared" ref="I207:T207" si="88">SUBTOTAL(9,I12:I206)</f>
        <v>14064635.686999999</v>
      </c>
      <c r="J207" s="149">
        <f t="shared" si="88"/>
        <v>92684658.238999993</v>
      </c>
      <c r="K207" s="149">
        <f t="shared" si="88"/>
        <v>21780757.577999998</v>
      </c>
      <c r="L207" s="149">
        <f t="shared" si="88"/>
        <v>25696875.686999999</v>
      </c>
      <c r="M207" s="149">
        <f t="shared" si="88"/>
        <v>41515518.239</v>
      </c>
      <c r="N207" s="149">
        <f t="shared" si="88"/>
        <v>22280990.577999998</v>
      </c>
      <c r="O207" s="149">
        <f t="shared" si="88"/>
        <v>15581378.686999999</v>
      </c>
      <c r="P207" s="149">
        <f t="shared" si="88"/>
        <v>12549407.239</v>
      </c>
      <c r="Q207" s="149">
        <f t="shared" si="88"/>
        <v>32567122.578000002</v>
      </c>
      <c r="R207" s="149">
        <f t="shared" si="88"/>
        <v>17811504.686999999</v>
      </c>
      <c r="S207" s="149">
        <f t="shared" si="88"/>
        <v>23292271.239</v>
      </c>
      <c r="T207" s="149">
        <f t="shared" si="88"/>
        <v>128828441.002</v>
      </c>
      <c r="U207" s="150">
        <f>SUBTOTAL(9,U12:U206)</f>
        <v>448653561.44</v>
      </c>
      <c r="V207" s="140"/>
      <c r="W207" s="151"/>
      <c r="X207" s="151"/>
      <c r="Y207" s="151"/>
      <c r="Z207" s="216">
        <f>SUM(Z14:Z204)</f>
        <v>138175324.17998427</v>
      </c>
      <c r="AA207" s="216">
        <f>SUM(AA14:AA204)</f>
        <v>33969892.182932802</v>
      </c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</row>
    <row r="208" spans="1:40">
      <c r="A208" s="148"/>
      <c r="B208" s="148"/>
      <c r="C208" s="148"/>
      <c r="D208" s="148"/>
      <c r="E208" s="148"/>
      <c r="F208" s="148"/>
      <c r="G208" s="148"/>
      <c r="H208" s="148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99" t="s">
        <v>403</v>
      </c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</row>
    <row r="211" spans="1:22" ht="15.75" thickBot="1">
      <c r="A211" s="141"/>
      <c r="B211" s="141"/>
      <c r="C211" s="141"/>
      <c r="D211" s="141"/>
      <c r="E211" s="141"/>
      <c r="F211" s="141"/>
      <c r="G211" s="142"/>
      <c r="H211" s="141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</row>
    <row r="212" spans="1:22">
      <c r="A212" s="135" t="s">
        <v>377</v>
      </c>
      <c r="I212" s="144">
        <f t="shared" ref="I212:T212" si="89">I207</f>
        <v>14064635.686999999</v>
      </c>
      <c r="J212" s="144">
        <f t="shared" si="89"/>
        <v>92684658.238999993</v>
      </c>
      <c r="K212" s="144">
        <f t="shared" si="89"/>
        <v>21780757.577999998</v>
      </c>
      <c r="L212" s="144">
        <f t="shared" si="89"/>
        <v>25696875.686999999</v>
      </c>
      <c r="M212" s="144">
        <f t="shared" si="89"/>
        <v>41515518.239</v>
      </c>
      <c r="N212" s="144">
        <f t="shared" si="89"/>
        <v>22280990.577999998</v>
      </c>
      <c r="O212" s="144">
        <f t="shared" si="89"/>
        <v>15581378.686999999</v>
      </c>
      <c r="P212" s="144">
        <f t="shared" si="89"/>
        <v>12549407.239</v>
      </c>
      <c r="Q212" s="144">
        <f t="shared" si="89"/>
        <v>32567122.578000002</v>
      </c>
      <c r="R212" s="144">
        <f t="shared" si="89"/>
        <v>17811504.686999999</v>
      </c>
      <c r="S212" s="144">
        <f t="shared" si="89"/>
        <v>23292271.239</v>
      </c>
      <c r="T212" s="144">
        <f t="shared" si="89"/>
        <v>128828441.002</v>
      </c>
      <c r="U212" s="144">
        <f>U207</f>
        <v>448653561.44</v>
      </c>
    </row>
    <row r="214" spans="1:22" ht="60.75">
      <c r="A214" s="122" t="s">
        <v>373</v>
      </c>
      <c r="V214" s="146" t="s">
        <v>376</v>
      </c>
    </row>
    <row r="215" spans="1:22">
      <c r="A215" s="136" t="s">
        <v>228</v>
      </c>
      <c r="B215" s="136" t="s">
        <v>201</v>
      </c>
      <c r="C215" s="136" t="s">
        <v>40</v>
      </c>
      <c r="D215" s="137" t="s">
        <v>407</v>
      </c>
      <c r="E215" s="138">
        <v>1002</v>
      </c>
      <c r="F215" s="136" t="s">
        <v>139</v>
      </c>
      <c r="G215" s="136" t="s">
        <v>42</v>
      </c>
      <c r="H215" s="136" t="s">
        <v>277</v>
      </c>
      <c r="I215" s="139">
        <f>$V$215*I234</f>
        <v>36070.571000000004</v>
      </c>
      <c r="J215" s="139">
        <f t="shared" ref="J215:S215" si="90">$V$215*J234</f>
        <v>36070.571000000004</v>
      </c>
      <c r="K215" s="139">
        <f t="shared" si="90"/>
        <v>36071.358</v>
      </c>
      <c r="L215" s="139">
        <f t="shared" si="90"/>
        <v>36070.571000000004</v>
      </c>
      <c r="M215" s="139">
        <f t="shared" si="90"/>
        <v>36070.571000000004</v>
      </c>
      <c r="N215" s="139">
        <f t="shared" si="90"/>
        <v>36071.358</v>
      </c>
      <c r="O215" s="139">
        <f t="shared" si="90"/>
        <v>36070.571000000004</v>
      </c>
      <c r="P215" s="139">
        <f t="shared" si="90"/>
        <v>36070.571000000004</v>
      </c>
      <c r="Q215" s="139">
        <f t="shared" si="90"/>
        <v>36071.358</v>
      </c>
      <c r="R215" s="139">
        <f t="shared" si="90"/>
        <v>36070.571000000004</v>
      </c>
      <c r="S215" s="139">
        <f t="shared" si="90"/>
        <v>36070.571000000004</v>
      </c>
      <c r="T215" s="139">
        <f>$V$215*T234</f>
        <v>36071.358</v>
      </c>
      <c r="U215" s="139">
        <f>SUM(I215:T215)</f>
        <v>432850</v>
      </c>
      <c r="V215" s="145">
        <v>0.78700000000000003</v>
      </c>
    </row>
    <row r="216" spans="1:22">
      <c r="A216" s="136" t="s">
        <v>228</v>
      </c>
      <c r="B216" s="136" t="s">
        <v>201</v>
      </c>
      <c r="C216" s="136" t="s">
        <v>40</v>
      </c>
      <c r="D216" s="137" t="s">
        <v>407</v>
      </c>
      <c r="E216" s="138">
        <v>1003</v>
      </c>
      <c r="F216" s="136" t="s">
        <v>139</v>
      </c>
      <c r="G216" s="136" t="s">
        <v>25</v>
      </c>
      <c r="H216" s="136" t="s">
        <v>277</v>
      </c>
      <c r="I216" s="139">
        <f>$V$216*I235</f>
        <v>92630.358000000007</v>
      </c>
      <c r="J216" s="139">
        <f t="shared" ref="J216:S216" si="91">$V$216*J235</f>
        <v>92630.358000000007</v>
      </c>
      <c r="K216" s="139">
        <f t="shared" si="91"/>
        <v>92631.384000000005</v>
      </c>
      <c r="L216" s="139">
        <f t="shared" si="91"/>
        <v>92630.358000000007</v>
      </c>
      <c r="M216" s="139">
        <f t="shared" si="91"/>
        <v>92630.358000000007</v>
      </c>
      <c r="N216" s="139">
        <f t="shared" si="91"/>
        <v>92631.384000000005</v>
      </c>
      <c r="O216" s="139">
        <f t="shared" si="91"/>
        <v>92630.358000000007</v>
      </c>
      <c r="P216" s="139">
        <f t="shared" si="91"/>
        <v>92630.358000000007</v>
      </c>
      <c r="Q216" s="139">
        <f t="shared" si="91"/>
        <v>92631.384000000005</v>
      </c>
      <c r="R216" s="139">
        <f t="shared" si="91"/>
        <v>92630.358000000007</v>
      </c>
      <c r="S216" s="139">
        <f t="shared" si="91"/>
        <v>92630.358000000007</v>
      </c>
      <c r="T216" s="139">
        <f>$V$216*T235</f>
        <v>92631.384000000005</v>
      </c>
      <c r="U216" s="139">
        <f>SUM(I216:T216)</f>
        <v>1111568.4000000001</v>
      </c>
      <c r="V216" s="145">
        <v>0.17100000000000001</v>
      </c>
    </row>
    <row r="217" spans="1:22">
      <c r="A217" s="136" t="s">
        <v>231</v>
      </c>
      <c r="B217" s="136" t="s">
        <v>202</v>
      </c>
      <c r="C217" s="136" t="s">
        <v>41</v>
      </c>
      <c r="D217" s="137" t="s">
        <v>407</v>
      </c>
      <c r="E217" s="138">
        <v>1050</v>
      </c>
      <c r="F217" s="136" t="s">
        <v>139</v>
      </c>
      <c r="G217" s="136" t="s">
        <v>28</v>
      </c>
      <c r="H217" s="136" t="s">
        <v>277</v>
      </c>
      <c r="I217" s="139">
        <f>$V$217*I236</f>
        <v>118899.352</v>
      </c>
      <c r="J217" s="139">
        <f t="shared" ref="J217:S217" si="92">$V$217*J236</f>
        <v>40205.799999999996</v>
      </c>
      <c r="K217" s="139">
        <f t="shared" si="92"/>
        <v>40206.224000000002</v>
      </c>
      <c r="L217" s="139">
        <f t="shared" si="92"/>
        <v>118899.352</v>
      </c>
      <c r="M217" s="139">
        <f t="shared" si="92"/>
        <v>40205.799999999996</v>
      </c>
      <c r="N217" s="139">
        <f t="shared" si="92"/>
        <v>40206.224000000002</v>
      </c>
      <c r="O217" s="139">
        <f t="shared" si="92"/>
        <v>118899.352</v>
      </c>
      <c r="P217" s="139">
        <f t="shared" si="92"/>
        <v>40205.799999999996</v>
      </c>
      <c r="Q217" s="139">
        <f t="shared" si="92"/>
        <v>40206.224000000002</v>
      </c>
      <c r="R217" s="139">
        <f t="shared" si="92"/>
        <v>118899.352</v>
      </c>
      <c r="S217" s="139">
        <f t="shared" si="92"/>
        <v>40205.799999999996</v>
      </c>
      <c r="T217" s="139">
        <f>$V$217*T236</f>
        <v>40207.072</v>
      </c>
      <c r="U217" s="139">
        <f>SUM(I217:T217)</f>
        <v>797246.35200000007</v>
      </c>
      <c r="V217" s="145">
        <v>0.42399999999999999</v>
      </c>
    </row>
    <row r="218" spans="1:22">
      <c r="A218" s="136" t="s">
        <v>231</v>
      </c>
      <c r="B218" s="136" t="s">
        <v>202</v>
      </c>
      <c r="C218" s="136" t="s">
        <v>41</v>
      </c>
      <c r="D218" s="137" t="s">
        <v>407</v>
      </c>
      <c r="E218" s="138">
        <v>1051</v>
      </c>
      <c r="F218" s="136" t="s">
        <v>139</v>
      </c>
      <c r="G218" s="136" t="s">
        <v>29</v>
      </c>
      <c r="H218" s="136" t="s">
        <v>277</v>
      </c>
      <c r="I218" s="139">
        <f>$V$218*I237</f>
        <v>11645.16</v>
      </c>
      <c r="J218" s="139">
        <f t="shared" ref="J218:T218" si="93">$V$218*J237</f>
        <v>11645.16</v>
      </c>
      <c r="K218" s="139">
        <f t="shared" si="93"/>
        <v>11645.583999999999</v>
      </c>
      <c r="L218" s="139">
        <f t="shared" si="93"/>
        <v>11645.16</v>
      </c>
      <c r="M218" s="139">
        <f t="shared" si="93"/>
        <v>11645.16</v>
      </c>
      <c r="N218" s="139">
        <f t="shared" si="93"/>
        <v>11645.583999999999</v>
      </c>
      <c r="O218" s="139">
        <f t="shared" si="93"/>
        <v>11645.16</v>
      </c>
      <c r="P218" s="139">
        <f t="shared" si="93"/>
        <v>11645.16</v>
      </c>
      <c r="Q218" s="139">
        <f t="shared" si="93"/>
        <v>11645.583999999999</v>
      </c>
      <c r="R218" s="139">
        <f t="shared" si="93"/>
        <v>11645.16</v>
      </c>
      <c r="S218" s="139">
        <f t="shared" si="93"/>
        <v>11645.16</v>
      </c>
      <c r="T218" s="139">
        <f t="shared" si="93"/>
        <v>11645.583999999999</v>
      </c>
      <c r="U218" s="139">
        <f>SUM(I218:T218)</f>
        <v>139743.61600000001</v>
      </c>
      <c r="V218" s="145">
        <v>0.42399999999999999</v>
      </c>
    </row>
    <row r="219" spans="1:22">
      <c r="A219" s="136" t="s">
        <v>231</v>
      </c>
      <c r="B219" s="136" t="s">
        <v>202</v>
      </c>
      <c r="C219" s="136" t="s">
        <v>41</v>
      </c>
      <c r="D219" s="137" t="s">
        <v>407</v>
      </c>
      <c r="E219" s="138">
        <v>1053</v>
      </c>
      <c r="F219" s="136" t="s">
        <v>139</v>
      </c>
      <c r="G219" s="136" t="s">
        <v>30</v>
      </c>
      <c r="H219" s="136" t="s">
        <v>277</v>
      </c>
      <c r="I219" s="139">
        <f>$V$219*I238</f>
        <v>23967.871999999999</v>
      </c>
      <c r="J219" s="139">
        <f t="shared" ref="J219:T219" si="94">$V$219*J238</f>
        <v>23967.871999999999</v>
      </c>
      <c r="K219" s="139">
        <f t="shared" si="94"/>
        <v>23967.871999999999</v>
      </c>
      <c r="L219" s="139">
        <f t="shared" si="94"/>
        <v>23967.871999999999</v>
      </c>
      <c r="M219" s="139">
        <f t="shared" si="94"/>
        <v>23967.871999999999</v>
      </c>
      <c r="N219" s="139">
        <f t="shared" si="94"/>
        <v>23967.871999999999</v>
      </c>
      <c r="O219" s="139">
        <f t="shared" si="94"/>
        <v>23967.871999999999</v>
      </c>
      <c r="P219" s="139">
        <f t="shared" si="94"/>
        <v>23967.871999999999</v>
      </c>
      <c r="Q219" s="139">
        <f t="shared" si="94"/>
        <v>23967.871999999999</v>
      </c>
      <c r="R219" s="139">
        <f t="shared" si="94"/>
        <v>23967.871999999999</v>
      </c>
      <c r="S219" s="139">
        <f t="shared" si="94"/>
        <v>23967.871999999999</v>
      </c>
      <c r="T219" s="139">
        <f t="shared" si="94"/>
        <v>23966.6</v>
      </c>
      <c r="U219" s="139">
        <f>SUM(I219:T219)</f>
        <v>287613.19199999998</v>
      </c>
      <c r="V219" s="145">
        <v>0.42399999999999999</v>
      </c>
    </row>
    <row r="220" spans="1:22">
      <c r="I220" s="152">
        <f t="shared" ref="I220:T220" si="95">SUM(I215:I219)</f>
        <v>283213.31300000002</v>
      </c>
      <c r="J220" s="152">
        <f t="shared" si="95"/>
        <v>204519.761</v>
      </c>
      <c r="K220" s="152">
        <f t="shared" si="95"/>
        <v>204522.42200000002</v>
      </c>
      <c r="L220" s="152">
        <f t="shared" si="95"/>
        <v>283213.31300000002</v>
      </c>
      <c r="M220" s="152">
        <f t="shared" si="95"/>
        <v>204519.761</v>
      </c>
      <c r="N220" s="152">
        <f t="shared" si="95"/>
        <v>204522.42200000002</v>
      </c>
      <c r="O220" s="152">
        <f t="shared" si="95"/>
        <v>283213.31300000002</v>
      </c>
      <c r="P220" s="152">
        <f t="shared" si="95"/>
        <v>204519.761</v>
      </c>
      <c r="Q220" s="152">
        <f t="shared" si="95"/>
        <v>204522.42200000002</v>
      </c>
      <c r="R220" s="152">
        <f t="shared" si="95"/>
        <v>283213.31300000002</v>
      </c>
      <c r="S220" s="152">
        <f t="shared" si="95"/>
        <v>204519.761</v>
      </c>
      <c r="T220" s="152">
        <f t="shared" si="95"/>
        <v>204521.99800000002</v>
      </c>
      <c r="U220" s="152">
        <f>SUM(U215:U219)</f>
        <v>2769021.56</v>
      </c>
    </row>
    <row r="221" spans="1:22"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</row>
    <row r="222" spans="1:22" ht="15.75">
      <c r="A222" s="122" t="s">
        <v>374</v>
      </c>
    </row>
    <row r="223" spans="1:22" ht="13.5" customHeight="1">
      <c r="A223" s="136" t="s">
        <v>228</v>
      </c>
      <c r="B223" s="136" t="s">
        <v>201</v>
      </c>
      <c r="C223" s="136" t="s">
        <v>40</v>
      </c>
      <c r="D223" s="137" t="s">
        <v>407</v>
      </c>
      <c r="E223" s="138">
        <v>1000</v>
      </c>
      <c r="F223" s="136" t="s">
        <v>139</v>
      </c>
      <c r="G223" s="136" t="s">
        <v>23</v>
      </c>
      <c r="H223" s="136" t="s">
        <v>277</v>
      </c>
      <c r="I223" s="139">
        <v>1121359</v>
      </c>
      <c r="J223" s="139">
        <v>872274</v>
      </c>
      <c r="K223" s="139">
        <v>919869</v>
      </c>
      <c r="L223" s="139">
        <v>992208</v>
      </c>
      <c r="M223" s="139">
        <v>1060372</v>
      </c>
      <c r="N223" s="139">
        <v>1184569</v>
      </c>
      <c r="O223" s="139">
        <v>1472869</v>
      </c>
      <c r="P223" s="139">
        <v>1114101</v>
      </c>
      <c r="Q223" s="139">
        <v>1131886</v>
      </c>
      <c r="R223" s="139">
        <v>1095596</v>
      </c>
      <c r="S223" s="139">
        <v>1060120</v>
      </c>
      <c r="T223" s="139">
        <v>984878</v>
      </c>
      <c r="U223" s="139">
        <f>SUM(I223:T223)</f>
        <v>13010101</v>
      </c>
    </row>
    <row r="224" spans="1:22">
      <c r="A224" s="136" t="s">
        <v>231</v>
      </c>
      <c r="B224" s="136" t="s">
        <v>202</v>
      </c>
      <c r="C224" s="136" t="s">
        <v>41</v>
      </c>
      <c r="D224" s="137" t="s">
        <v>407</v>
      </c>
      <c r="E224" s="138">
        <v>1001</v>
      </c>
      <c r="F224" s="136" t="s">
        <v>139</v>
      </c>
      <c r="G224" s="136" t="s">
        <v>24</v>
      </c>
      <c r="H224" s="136" t="s">
        <v>277</v>
      </c>
      <c r="I224" s="139">
        <v>798048</v>
      </c>
      <c r="J224" s="139">
        <v>703751</v>
      </c>
      <c r="K224" s="139">
        <v>854419</v>
      </c>
      <c r="L224" s="139">
        <v>965341</v>
      </c>
      <c r="M224" s="139">
        <v>1111606</v>
      </c>
      <c r="N224" s="139">
        <v>1347779</v>
      </c>
      <c r="O224" s="139">
        <v>1420051</v>
      </c>
      <c r="P224" s="139">
        <v>1310690</v>
      </c>
      <c r="Q224" s="139">
        <v>1317423</v>
      </c>
      <c r="R224" s="139">
        <v>1209109</v>
      </c>
      <c r="S224" s="139">
        <v>1037765</v>
      </c>
      <c r="T224" s="139">
        <v>1267419</v>
      </c>
      <c r="U224" s="139">
        <f>SUM(I224:T224)</f>
        <v>13343401</v>
      </c>
    </row>
    <row r="225" spans="1:22">
      <c r="A225" s="136" t="s">
        <v>228</v>
      </c>
      <c r="B225" s="136" t="s">
        <v>201</v>
      </c>
      <c r="C225" s="136" t="s">
        <v>40</v>
      </c>
      <c r="D225" s="137" t="s">
        <v>407</v>
      </c>
      <c r="E225" s="138">
        <v>1004</v>
      </c>
      <c r="F225" s="136" t="s">
        <v>139</v>
      </c>
      <c r="G225" s="136" t="s">
        <v>43</v>
      </c>
      <c r="H225" s="136" t="s">
        <v>277</v>
      </c>
      <c r="I225" s="139">
        <v>60463</v>
      </c>
      <c r="J225" s="139">
        <v>48128</v>
      </c>
      <c r="K225" s="139">
        <v>48896</v>
      </c>
      <c r="L225" s="139">
        <v>53035</v>
      </c>
      <c r="M225" s="139">
        <v>59673</v>
      </c>
      <c r="N225" s="139">
        <v>57230</v>
      </c>
      <c r="O225" s="139">
        <v>68803</v>
      </c>
      <c r="P225" s="139">
        <v>58596</v>
      </c>
      <c r="Q225" s="139">
        <v>59478</v>
      </c>
      <c r="R225" s="139">
        <v>61975</v>
      </c>
      <c r="S225" s="139">
        <v>54249</v>
      </c>
      <c r="T225" s="139">
        <v>69475</v>
      </c>
      <c r="U225" s="139">
        <f>SUM(I225:T225)</f>
        <v>700001</v>
      </c>
    </row>
    <row r="226" spans="1:22">
      <c r="A226" s="136" t="s">
        <v>228</v>
      </c>
      <c r="B226" s="136" t="s">
        <v>201</v>
      </c>
      <c r="C226" s="136" t="s">
        <v>40</v>
      </c>
      <c r="D226" s="137" t="s">
        <v>407</v>
      </c>
      <c r="E226" s="138">
        <v>1005</v>
      </c>
      <c r="F226" s="136" t="s">
        <v>139</v>
      </c>
      <c r="G226" s="136" t="s">
        <v>26</v>
      </c>
      <c r="H226" s="136" t="s">
        <v>277</v>
      </c>
      <c r="I226" s="139">
        <v>51770</v>
      </c>
      <c r="J226" s="139">
        <v>40294</v>
      </c>
      <c r="K226" s="139">
        <v>42415</v>
      </c>
      <c r="L226" s="139">
        <v>45755</v>
      </c>
      <c r="M226" s="139">
        <v>48989</v>
      </c>
      <c r="N226" s="139">
        <v>54397</v>
      </c>
      <c r="O226" s="139">
        <v>67592</v>
      </c>
      <c r="P226" s="139">
        <v>51312</v>
      </c>
      <c r="Q226" s="139">
        <v>52130</v>
      </c>
      <c r="R226" s="139">
        <v>50617</v>
      </c>
      <c r="S226" s="139">
        <v>48806</v>
      </c>
      <c r="T226" s="139">
        <v>45925</v>
      </c>
      <c r="U226" s="139">
        <f>SUM(I226:T226)</f>
        <v>600002</v>
      </c>
    </row>
    <row r="227" spans="1:22">
      <c r="A227" s="136" t="s">
        <v>228</v>
      </c>
      <c r="B227" s="136" t="s">
        <v>201</v>
      </c>
      <c r="C227" s="136" t="s">
        <v>39</v>
      </c>
      <c r="D227" s="137" t="s">
        <v>407</v>
      </c>
      <c r="E227" s="138">
        <v>1009</v>
      </c>
      <c r="F227" s="136" t="s">
        <v>139</v>
      </c>
      <c r="G227" s="136" t="s">
        <v>3</v>
      </c>
      <c r="H227" s="136" t="s">
        <v>277</v>
      </c>
      <c r="I227" s="139">
        <v>0</v>
      </c>
      <c r="J227" s="139">
        <v>0</v>
      </c>
      <c r="K227" s="139">
        <v>184000</v>
      </c>
      <c r="L227" s="139">
        <v>184000</v>
      </c>
      <c r="M227" s="139">
        <v>184000</v>
      </c>
      <c r="N227" s="139">
        <v>184000</v>
      </c>
      <c r="O227" s="139">
        <v>184000</v>
      </c>
      <c r="P227" s="139">
        <v>0</v>
      </c>
      <c r="Q227" s="139">
        <v>0</v>
      </c>
      <c r="R227" s="139">
        <v>0</v>
      </c>
      <c r="S227" s="139">
        <v>0</v>
      </c>
      <c r="T227" s="139">
        <v>0</v>
      </c>
      <c r="U227" s="139">
        <f>SUM(I227:T227)</f>
        <v>920000</v>
      </c>
    </row>
    <row r="228" spans="1:22">
      <c r="I228" s="152">
        <f t="shared" ref="I228:T228" si="96">SUM(I223:I227)</f>
        <v>2031640</v>
      </c>
      <c r="J228" s="152">
        <f t="shared" si="96"/>
        <v>1664447</v>
      </c>
      <c r="K228" s="152">
        <f t="shared" si="96"/>
        <v>2049599</v>
      </c>
      <c r="L228" s="152">
        <f t="shared" si="96"/>
        <v>2240339</v>
      </c>
      <c r="M228" s="152">
        <f t="shared" si="96"/>
        <v>2464640</v>
      </c>
      <c r="N228" s="152">
        <f t="shared" si="96"/>
        <v>2827975</v>
      </c>
      <c r="O228" s="152">
        <f t="shared" si="96"/>
        <v>3213315</v>
      </c>
      <c r="P228" s="152">
        <f t="shared" si="96"/>
        <v>2534699</v>
      </c>
      <c r="Q228" s="152">
        <f t="shared" si="96"/>
        <v>2560917</v>
      </c>
      <c r="R228" s="152">
        <f t="shared" si="96"/>
        <v>2417297</v>
      </c>
      <c r="S228" s="152">
        <f t="shared" si="96"/>
        <v>2200940</v>
      </c>
      <c r="T228" s="152">
        <f t="shared" si="96"/>
        <v>2367697</v>
      </c>
      <c r="U228" s="152">
        <f>SUM(U223:U227)</f>
        <v>28573505</v>
      </c>
    </row>
    <row r="229" spans="1:22"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</row>
    <row r="230" spans="1:22" ht="15.75" thickBot="1">
      <c r="A230" s="135" t="s">
        <v>384</v>
      </c>
      <c r="I230" s="147">
        <f>I228+I220+I212</f>
        <v>16379489</v>
      </c>
      <c r="J230" s="147">
        <f t="shared" ref="J230:T230" si="97">J228+J220+J212</f>
        <v>94553625</v>
      </c>
      <c r="K230" s="147">
        <f t="shared" si="97"/>
        <v>24034879</v>
      </c>
      <c r="L230" s="147">
        <f t="shared" si="97"/>
        <v>28220428</v>
      </c>
      <c r="M230" s="147">
        <f t="shared" si="97"/>
        <v>44184678</v>
      </c>
      <c r="N230" s="147">
        <f t="shared" si="97"/>
        <v>25313488</v>
      </c>
      <c r="O230" s="147">
        <f t="shared" si="97"/>
        <v>19077907</v>
      </c>
      <c r="P230" s="147">
        <f t="shared" si="97"/>
        <v>15288626</v>
      </c>
      <c r="Q230" s="147">
        <f t="shared" si="97"/>
        <v>35332562</v>
      </c>
      <c r="R230" s="147">
        <f t="shared" si="97"/>
        <v>20512015</v>
      </c>
      <c r="S230" s="147">
        <f t="shared" si="97"/>
        <v>25697731</v>
      </c>
      <c r="T230" s="147">
        <f t="shared" si="97"/>
        <v>131400660</v>
      </c>
      <c r="U230" s="147">
        <f>U228+U220+U212</f>
        <v>479996088</v>
      </c>
    </row>
    <row r="231" spans="1:22">
      <c r="U231" s="127">
        <f>U6-U230</f>
        <v>0</v>
      </c>
    </row>
    <row r="233" spans="1:22" ht="15.75">
      <c r="A233" s="123" t="s">
        <v>375</v>
      </c>
    </row>
    <row r="234" spans="1:22">
      <c r="A234" s="136" t="s">
        <v>228</v>
      </c>
      <c r="B234" s="136" t="s">
        <v>201</v>
      </c>
      <c r="C234" s="136" t="s">
        <v>40</v>
      </c>
      <c r="D234" s="137" t="s">
        <v>407</v>
      </c>
      <c r="E234" s="138">
        <v>1002</v>
      </c>
      <c r="F234" s="136" t="s">
        <v>139</v>
      </c>
      <c r="G234" s="136" t="s">
        <v>42</v>
      </c>
      <c r="H234" s="136" t="s">
        <v>277</v>
      </c>
      <c r="I234" s="139">
        <v>45833</v>
      </c>
      <c r="J234" s="139">
        <v>45833</v>
      </c>
      <c r="K234" s="139">
        <v>45834</v>
      </c>
      <c r="L234" s="139">
        <v>45833</v>
      </c>
      <c r="M234" s="139">
        <v>45833</v>
      </c>
      <c r="N234" s="139">
        <v>45834</v>
      </c>
      <c r="O234" s="139">
        <v>45833</v>
      </c>
      <c r="P234" s="139">
        <v>45833</v>
      </c>
      <c r="Q234" s="139">
        <v>45834</v>
      </c>
      <c r="R234" s="139">
        <v>45833</v>
      </c>
      <c r="S234" s="139">
        <v>45833</v>
      </c>
      <c r="T234" s="139">
        <v>45834</v>
      </c>
      <c r="U234" s="139">
        <f>SUM(I234:T234)</f>
        <v>550000</v>
      </c>
      <c r="V234" s="145">
        <v>0.21299999999999999</v>
      </c>
    </row>
    <row r="235" spans="1:22">
      <c r="A235" s="136" t="s">
        <v>228</v>
      </c>
      <c r="B235" s="136" t="s">
        <v>201</v>
      </c>
      <c r="C235" s="136" t="s">
        <v>40</v>
      </c>
      <c r="D235" s="137" t="s">
        <v>407</v>
      </c>
      <c r="E235" s="138">
        <v>1003</v>
      </c>
      <c r="F235" s="136" t="s">
        <v>139</v>
      </c>
      <c r="G235" s="136" t="s">
        <v>25</v>
      </c>
      <c r="H235" s="136" t="s">
        <v>277</v>
      </c>
      <c r="I235" s="139">
        <v>541698</v>
      </c>
      <c r="J235" s="139">
        <v>541698</v>
      </c>
      <c r="K235" s="139">
        <v>541704</v>
      </c>
      <c r="L235" s="139">
        <v>541698</v>
      </c>
      <c r="M235" s="139">
        <v>541698</v>
      </c>
      <c r="N235" s="139">
        <v>541704</v>
      </c>
      <c r="O235" s="139">
        <v>541698</v>
      </c>
      <c r="P235" s="139">
        <v>541698</v>
      </c>
      <c r="Q235" s="139">
        <v>541704</v>
      </c>
      <c r="R235" s="139">
        <v>541698</v>
      </c>
      <c r="S235" s="139">
        <v>541698</v>
      </c>
      <c r="T235" s="139">
        <v>541704</v>
      </c>
      <c r="U235" s="139">
        <f>SUM(I235:T235)</f>
        <v>6500400</v>
      </c>
      <c r="V235" s="145">
        <v>0.82899999999999996</v>
      </c>
    </row>
    <row r="236" spans="1:22">
      <c r="A236" s="136" t="s">
        <v>231</v>
      </c>
      <c r="B236" s="136" t="s">
        <v>202</v>
      </c>
      <c r="C236" s="136" t="s">
        <v>41</v>
      </c>
      <c r="D236" s="137" t="s">
        <v>407</v>
      </c>
      <c r="E236" s="138">
        <v>1050</v>
      </c>
      <c r="F236" s="136" t="s">
        <v>139</v>
      </c>
      <c r="G236" s="136" t="s">
        <v>28</v>
      </c>
      <c r="H236" s="136" t="s">
        <v>277</v>
      </c>
      <c r="I236" s="139">
        <v>280423</v>
      </c>
      <c r="J236" s="139">
        <v>94825</v>
      </c>
      <c r="K236" s="139">
        <v>94826</v>
      </c>
      <c r="L236" s="139">
        <v>280423</v>
      </c>
      <c r="M236" s="139">
        <v>94825</v>
      </c>
      <c r="N236" s="139">
        <v>94826</v>
      </c>
      <c r="O236" s="139">
        <v>280423</v>
      </c>
      <c r="P236" s="139">
        <v>94825</v>
      </c>
      <c r="Q236" s="139">
        <v>94826</v>
      </c>
      <c r="R236" s="139">
        <v>280423</v>
      </c>
      <c r="S236" s="139">
        <v>94825</v>
      </c>
      <c r="T236" s="139">
        <v>94828</v>
      </c>
      <c r="U236" s="139">
        <f>SUM(I236:T236)</f>
        <v>1880298</v>
      </c>
      <c r="V236" s="145">
        <v>0.57599999999999996</v>
      </c>
    </row>
    <row r="237" spans="1:22">
      <c r="A237" s="136" t="s">
        <v>231</v>
      </c>
      <c r="B237" s="136" t="s">
        <v>202</v>
      </c>
      <c r="C237" s="136" t="s">
        <v>41</v>
      </c>
      <c r="D237" s="137" t="s">
        <v>407</v>
      </c>
      <c r="E237" s="138">
        <v>1051</v>
      </c>
      <c r="F237" s="136" t="s">
        <v>139</v>
      </c>
      <c r="G237" s="136" t="s">
        <v>29</v>
      </c>
      <c r="H237" s="136" t="s">
        <v>277</v>
      </c>
      <c r="I237" s="139">
        <v>27465</v>
      </c>
      <c r="J237" s="139">
        <v>27465</v>
      </c>
      <c r="K237" s="139">
        <v>27466</v>
      </c>
      <c r="L237" s="139">
        <v>27465</v>
      </c>
      <c r="M237" s="139">
        <v>27465</v>
      </c>
      <c r="N237" s="139">
        <v>27466</v>
      </c>
      <c r="O237" s="139">
        <v>27465</v>
      </c>
      <c r="P237" s="139">
        <v>27465</v>
      </c>
      <c r="Q237" s="139">
        <v>27466</v>
      </c>
      <c r="R237" s="139">
        <v>27465</v>
      </c>
      <c r="S237" s="139">
        <v>27465</v>
      </c>
      <c r="T237" s="139">
        <v>27466</v>
      </c>
      <c r="U237" s="139">
        <f>SUM(I237:T237)</f>
        <v>329584</v>
      </c>
      <c r="V237" s="145">
        <v>0.57599999999999996</v>
      </c>
    </row>
    <row r="238" spans="1:22">
      <c r="A238" s="136" t="s">
        <v>231</v>
      </c>
      <c r="B238" s="136" t="s">
        <v>202</v>
      </c>
      <c r="C238" s="136" t="s">
        <v>41</v>
      </c>
      <c r="D238" s="137" t="s">
        <v>407</v>
      </c>
      <c r="E238" s="138">
        <v>1053</v>
      </c>
      <c r="F238" s="136" t="s">
        <v>139</v>
      </c>
      <c r="G238" s="136" t="s">
        <v>30</v>
      </c>
      <c r="H238" s="136" t="s">
        <v>277</v>
      </c>
      <c r="I238" s="139">
        <v>56528</v>
      </c>
      <c r="J238" s="139">
        <v>56528</v>
      </c>
      <c r="K238" s="139">
        <v>56528</v>
      </c>
      <c r="L238" s="139">
        <v>56528</v>
      </c>
      <c r="M238" s="139">
        <v>56528</v>
      </c>
      <c r="N238" s="139">
        <v>56528</v>
      </c>
      <c r="O238" s="139">
        <v>56528</v>
      </c>
      <c r="P238" s="139">
        <v>56528</v>
      </c>
      <c r="Q238" s="139">
        <v>56528</v>
      </c>
      <c r="R238" s="139">
        <v>56528</v>
      </c>
      <c r="S238" s="139">
        <v>56528</v>
      </c>
      <c r="T238" s="139">
        <v>56525</v>
      </c>
      <c r="U238" s="139">
        <f>SUM(I238:T238)</f>
        <v>678333</v>
      </c>
      <c r="V238" s="145">
        <v>0.57599999999999996</v>
      </c>
    </row>
  </sheetData>
  <printOptions horizontalCentered="1"/>
  <pageMargins left="0" right="0" top="0.5" bottom="0.5" header="0.3" footer="0.3"/>
  <pageSetup scale="44" fitToHeight="0" orientation="landscape" r:id="rId1"/>
  <headerFooter>
    <oddFooter>&amp;Cpage &amp;P of &amp;N&amp;R&amp;F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3" sqref="D23"/>
    </sheetView>
  </sheetViews>
  <sheetFormatPr defaultRowHeight="12.75"/>
  <cols>
    <col min="1" max="1" width="26" bestFit="1" customWidth="1"/>
    <col min="2" max="2" width="11" bestFit="1" customWidth="1"/>
    <col min="3" max="3" width="25.7109375" bestFit="1" customWidth="1"/>
    <col min="4" max="4" width="15.42578125" bestFit="1" customWidth="1"/>
    <col min="5" max="5" width="13.42578125" bestFit="1" customWidth="1"/>
    <col min="6" max="6" width="9.28515625" bestFit="1" customWidth="1"/>
    <col min="7" max="7" width="8.5703125" bestFit="1" customWidth="1"/>
  </cols>
  <sheetData>
    <row r="1" spans="1:8" ht="13.5" thickBot="1">
      <c r="A1" s="64" t="s">
        <v>265</v>
      </c>
      <c r="B1" s="65"/>
      <c r="C1" s="66" t="s">
        <v>490</v>
      </c>
      <c r="D1" s="66"/>
      <c r="E1" s="66"/>
      <c r="F1" s="65"/>
    </row>
    <row r="2" spans="1:8">
      <c r="A2" s="70"/>
      <c r="B2" s="71" t="s">
        <v>255</v>
      </c>
      <c r="C2" s="72" t="s">
        <v>39</v>
      </c>
      <c r="D2" s="72" t="s">
        <v>46</v>
      </c>
      <c r="E2" s="72" t="s">
        <v>59</v>
      </c>
      <c r="F2" s="72" t="s">
        <v>256</v>
      </c>
    </row>
    <row r="3" spans="1:8">
      <c r="A3" s="3" t="s">
        <v>263</v>
      </c>
      <c r="B3" s="3">
        <v>1</v>
      </c>
      <c r="C3" s="73">
        <v>0.65190000000000003</v>
      </c>
      <c r="D3" s="73">
        <v>0.34810000000000002</v>
      </c>
      <c r="E3" s="73"/>
      <c r="F3" s="74">
        <f t="shared" ref="F3:F6" si="0">SUM(C3:E3)</f>
        <v>1</v>
      </c>
      <c r="H3" t="s">
        <v>501</v>
      </c>
    </row>
    <row r="4" spans="1:8">
      <c r="A4" s="3" t="s">
        <v>257</v>
      </c>
      <c r="B4" s="3">
        <v>2</v>
      </c>
      <c r="C4" s="73">
        <v>0.65642</v>
      </c>
      <c r="D4" s="73">
        <v>0.34358</v>
      </c>
      <c r="E4" s="73"/>
      <c r="F4" s="74">
        <f t="shared" si="0"/>
        <v>1</v>
      </c>
    </row>
    <row r="5" spans="1:8">
      <c r="A5" s="3" t="s">
        <v>258</v>
      </c>
      <c r="B5" s="3">
        <v>3</v>
      </c>
      <c r="C5" s="73">
        <v>0.64009000000000005</v>
      </c>
      <c r="D5" s="73">
        <v>0.35991000000000001</v>
      </c>
      <c r="E5" s="73"/>
      <c r="F5" s="74">
        <f t="shared" si="0"/>
        <v>1</v>
      </c>
    </row>
    <row r="6" spans="1:8">
      <c r="A6" s="3" t="s">
        <v>264</v>
      </c>
      <c r="B6" s="3">
        <v>4</v>
      </c>
      <c r="C6" s="73">
        <v>0.67676999999999998</v>
      </c>
      <c r="D6" s="73">
        <v>0.32323000000000002</v>
      </c>
      <c r="E6" s="73"/>
      <c r="F6" s="74">
        <f t="shared" si="0"/>
        <v>1</v>
      </c>
      <c r="H6" t="s">
        <v>502</v>
      </c>
    </row>
    <row r="7" spans="1:8">
      <c r="A7" s="1" t="s">
        <v>269</v>
      </c>
      <c r="B7" s="1">
        <v>7</v>
      </c>
      <c r="C7" s="73">
        <v>0.71289999999999998</v>
      </c>
      <c r="D7" s="73">
        <v>0.19822000000000001</v>
      </c>
      <c r="E7" s="73">
        <v>8.8880000000000001E-2</v>
      </c>
      <c r="F7" s="74">
        <f>SUM(C7:E7)</f>
        <v>0.99999999999999989</v>
      </c>
      <c r="H7" t="s">
        <v>499</v>
      </c>
    </row>
    <row r="8" spans="1:8">
      <c r="A8" s="1" t="s">
        <v>268</v>
      </c>
      <c r="B8" s="1">
        <v>9</v>
      </c>
      <c r="C8" s="73">
        <v>0.78641000000000005</v>
      </c>
      <c r="D8" s="73">
        <v>0.21359</v>
      </c>
      <c r="E8" s="73"/>
      <c r="F8" s="74">
        <f>SUM(C8:E8)</f>
        <v>1</v>
      </c>
      <c r="H8" t="s">
        <v>500</v>
      </c>
    </row>
    <row r="9" spans="1:8">
      <c r="A9" s="1" t="s">
        <v>267</v>
      </c>
      <c r="B9" s="1">
        <v>10</v>
      </c>
      <c r="C9" s="73">
        <v>0.65027000000000001</v>
      </c>
      <c r="D9" s="73">
        <v>0.34972999999999999</v>
      </c>
      <c r="E9" s="73"/>
      <c r="F9" s="74">
        <f>SUM(C9:E9)</f>
        <v>1</v>
      </c>
    </row>
    <row r="10" spans="1:8">
      <c r="A10" s="1"/>
      <c r="B10" s="1"/>
      <c r="C10" s="3"/>
      <c r="D10" s="3"/>
      <c r="E10" s="3"/>
      <c r="F10" s="3"/>
    </row>
    <row r="11" spans="1:8" ht="13.5" thickBot="1">
      <c r="A11" s="64" t="s">
        <v>266</v>
      </c>
      <c r="B11" s="65"/>
      <c r="C11" s="66" t="s">
        <v>491</v>
      </c>
      <c r="D11" s="65"/>
      <c r="E11" s="66"/>
      <c r="F11" s="65"/>
    </row>
    <row r="12" spans="1:8">
      <c r="A12" s="86"/>
      <c r="B12" s="71" t="s">
        <v>255</v>
      </c>
      <c r="C12" s="71" t="s">
        <v>39</v>
      </c>
      <c r="D12" s="71" t="s">
        <v>46</v>
      </c>
      <c r="E12" s="71" t="s">
        <v>59</v>
      </c>
      <c r="F12" s="71" t="s">
        <v>256</v>
      </c>
    </row>
    <row r="13" spans="1:8">
      <c r="A13" s="87" t="s">
        <v>262</v>
      </c>
      <c r="B13" s="87">
        <v>1</v>
      </c>
      <c r="C13" s="88">
        <v>0.70269999999999999</v>
      </c>
      <c r="D13" s="88">
        <v>0.29730000000000001</v>
      </c>
      <c r="E13" s="88"/>
      <c r="F13" s="74">
        <f t="shared" ref="F13:F19" si="1">SUM(C13:E13)</f>
        <v>1</v>
      </c>
    </row>
    <row r="14" spans="1:8">
      <c r="A14" s="87" t="s">
        <v>257</v>
      </c>
      <c r="B14" s="87">
        <v>2</v>
      </c>
      <c r="C14" s="88">
        <v>0.66383000000000003</v>
      </c>
      <c r="D14" s="88">
        <v>0.33617000000000002</v>
      </c>
      <c r="E14" s="88"/>
      <c r="F14" s="74">
        <f t="shared" si="1"/>
        <v>1</v>
      </c>
    </row>
    <row r="15" spans="1:8">
      <c r="A15" s="87" t="s">
        <v>258</v>
      </c>
      <c r="B15" s="87">
        <v>3</v>
      </c>
      <c r="C15" s="88">
        <v>0.64981</v>
      </c>
      <c r="D15" s="88">
        <v>0.35019</v>
      </c>
      <c r="E15" s="88"/>
      <c r="F15" s="74">
        <f t="shared" si="1"/>
        <v>1</v>
      </c>
    </row>
    <row r="16" spans="1:8">
      <c r="A16" s="87" t="s">
        <v>259</v>
      </c>
      <c r="B16" s="87">
        <v>4</v>
      </c>
      <c r="C16" s="88">
        <v>0.72184999999999999</v>
      </c>
      <c r="D16" s="88">
        <v>0.27815000000000001</v>
      </c>
      <c r="E16" s="88"/>
      <c r="F16" s="74">
        <f t="shared" si="1"/>
        <v>1</v>
      </c>
      <c r="H16" t="s">
        <v>502</v>
      </c>
    </row>
    <row r="17" spans="1:8">
      <c r="A17" s="87" t="s">
        <v>260</v>
      </c>
      <c r="B17" s="87">
        <v>6</v>
      </c>
      <c r="C17" s="88">
        <v>0.69035000000000002</v>
      </c>
      <c r="D17" s="88">
        <v>0.30964999999999998</v>
      </c>
      <c r="E17" s="88"/>
      <c r="F17" s="74">
        <f t="shared" si="1"/>
        <v>1</v>
      </c>
    </row>
    <row r="18" spans="1:8">
      <c r="A18" s="87"/>
      <c r="B18" s="87">
        <v>8</v>
      </c>
      <c r="C18" s="88">
        <v>0.68732000000000004</v>
      </c>
      <c r="D18" s="88"/>
      <c r="E18" s="88">
        <v>0.31268000000000001</v>
      </c>
      <c r="F18" s="74">
        <f t="shared" si="1"/>
        <v>1</v>
      </c>
      <c r="H18" t="s">
        <v>498</v>
      </c>
    </row>
    <row r="19" spans="1:8">
      <c r="A19" s="87" t="s">
        <v>261</v>
      </c>
      <c r="B19" s="87">
        <v>10</v>
      </c>
      <c r="C19" s="88">
        <v>0.69413999999999998</v>
      </c>
      <c r="D19" s="88">
        <v>0.30586000000000002</v>
      </c>
      <c r="E19" s="88"/>
      <c r="F19" s="74">
        <f t="shared" si="1"/>
        <v>1</v>
      </c>
    </row>
  </sheetData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A30741-44E8-47C7-A7C4-AF16383D34F4}"/>
</file>

<file path=customXml/itemProps2.xml><?xml version="1.0" encoding="utf-8"?>
<ds:datastoreItem xmlns:ds="http://schemas.openxmlformats.org/officeDocument/2006/customXml" ds:itemID="{97197581-2BC7-4868-8525-ADED47ABA97E}"/>
</file>

<file path=customXml/itemProps3.xml><?xml version="1.0" encoding="utf-8"?>
<ds:datastoreItem xmlns:ds="http://schemas.openxmlformats.org/officeDocument/2006/customXml" ds:itemID="{E62108A8-FE49-4CD3-8515-B83160819EC9}"/>
</file>

<file path=customXml/itemProps4.xml><?xml version="1.0" encoding="utf-8"?>
<ds:datastoreItem xmlns:ds="http://schemas.openxmlformats.org/officeDocument/2006/customXml" ds:itemID="{C44E581C-BAC4-4FC9-8FD9-5AC86EDD2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Major ERs</vt:lpstr>
      <vt:lpstr>Major critera</vt:lpstr>
      <vt:lpstr>CAP15</vt:lpstr>
      <vt:lpstr>CAP15.1-Allocations</vt:lpstr>
      <vt:lpstr>CAP15.2 - AMA CALC</vt:lpstr>
      <vt:lpstr>CAP15.3</vt:lpstr>
      <vt:lpstr>CAP15.3 - edit</vt:lpstr>
      <vt:lpstr>Allocation factors</vt:lpstr>
      <vt:lpstr>'CAP15'!Print_Area</vt:lpstr>
      <vt:lpstr>'CAP15.1-Allocations'!Print_Area</vt:lpstr>
      <vt:lpstr>'CAP15.2 - AMA CALC'!Print_Area</vt:lpstr>
      <vt:lpstr>CAP15.3!Print_Area</vt:lpstr>
      <vt:lpstr>'CAP15.3 - edit'!Print_Area</vt:lpstr>
      <vt:lpstr>'Major ERs'!Print_Area</vt:lpstr>
      <vt:lpstr>'CAP15.1-Allocations'!Print_Titles</vt:lpstr>
      <vt:lpstr>'CAP15.2 - AMA CALC'!Print_Titles</vt:lpstr>
      <vt:lpstr>CAP15.3!Print_Titles</vt:lpstr>
      <vt:lpstr>'CAP15.3 - edit'!Print_Titles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czvp1w</dc:creator>
  <cp:lastModifiedBy>Hancock, Christopher (UTC)</cp:lastModifiedBy>
  <cp:lastPrinted>2015-07-22T23:38:13Z</cp:lastPrinted>
  <dcterms:created xsi:type="dcterms:W3CDTF">2008-01-14T17:48:33Z</dcterms:created>
  <dcterms:modified xsi:type="dcterms:W3CDTF">2015-07-22T23:38:21Z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