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0.2021 Backup\"/>
    </mc:Choice>
  </mc:AlternateContent>
  <xr:revisionPtr revIDLastSave="0" documentId="13_ncr:1_{2ECEE3AC-32FA-4237-A833-9C33B33FBF2A}" xr6:coauthVersionLast="45" xr6:coauthVersionMax="45" xr10:uidLastSave="{00000000-0000-0000-0000-000000000000}"/>
  <bookViews>
    <workbookView xWindow="-98" yWindow="-98" windowWidth="20715" windowHeight="13276" xr2:uid="{2BC221F4-1C95-4A67-A2DD-B463E15FE679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B9" i="3"/>
  <c r="M8" i="3"/>
  <c r="M13" i="3" s="1"/>
  <c r="L8" i="3"/>
  <c r="L19" i="3" s="1"/>
  <c r="L20" i="3" s="1"/>
  <c r="K8" i="3"/>
  <c r="J8" i="3"/>
  <c r="J9" i="3" s="1"/>
  <c r="I8" i="3"/>
  <c r="H8" i="3"/>
  <c r="G8" i="3"/>
  <c r="G9" i="3" s="1"/>
  <c r="F8" i="3"/>
  <c r="F9" i="3" s="1"/>
  <c r="E8" i="3"/>
  <c r="D8" i="3"/>
  <c r="C8" i="3"/>
  <c r="B8" i="3"/>
  <c r="D7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D133" i="2" s="1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A114" i="2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R95" i="2"/>
  <c r="D95" i="2"/>
  <c r="R94" i="2"/>
  <c r="D94" i="2"/>
  <c r="R93" i="2"/>
  <c r="D93" i="2"/>
  <c r="A93" i="2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R92" i="2"/>
  <c r="D92" i="2"/>
  <c r="D91" i="2"/>
  <c r="R90" i="2"/>
  <c r="D90" i="2"/>
  <c r="A90" i="2"/>
  <c r="A91" i="2" s="1"/>
  <c r="A9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81" i="2"/>
  <c r="D81" i="2"/>
  <c r="R80" i="2"/>
  <c r="D80" i="2"/>
  <c r="R79" i="2"/>
  <c r="D79" i="2"/>
  <c r="R78" i="2"/>
  <c r="D78" i="2"/>
  <c r="R77" i="2"/>
  <c r="D77" i="2"/>
  <c r="R76" i="2"/>
  <c r="D76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P68" i="2"/>
  <c r="P72" i="2" s="1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H72" i="2" s="1"/>
  <c r="G68" i="2"/>
  <c r="G72" i="2" s="1"/>
  <c r="F68" i="2"/>
  <c r="F72" i="2" s="1"/>
  <c r="E68" i="2"/>
  <c r="E72" i="2" s="1"/>
  <c r="P65" i="2"/>
  <c r="O65" i="2"/>
  <c r="N65" i="2"/>
  <c r="M65" i="2"/>
  <c r="L65" i="2"/>
  <c r="K65" i="2"/>
  <c r="J65" i="2"/>
  <c r="I65" i="2"/>
  <c r="H65" i="2"/>
  <c r="G65" i="2"/>
  <c r="F65" i="2"/>
  <c r="E65" i="2"/>
  <c r="D65" i="2" s="1"/>
  <c r="R64" i="2"/>
  <c r="D64" i="2"/>
  <c r="R63" i="2"/>
  <c r="D63" i="2"/>
  <c r="R62" i="2"/>
  <c r="D62" i="2"/>
  <c r="R61" i="2"/>
  <c r="D61" i="2"/>
  <c r="P58" i="2"/>
  <c r="P47" i="2" s="1"/>
  <c r="O58" i="2"/>
  <c r="N58" i="2"/>
  <c r="N47" i="2" s="1"/>
  <c r="M58" i="2"/>
  <c r="L58" i="2"/>
  <c r="L47" i="2" s="1"/>
  <c r="K58" i="2"/>
  <c r="J58" i="2"/>
  <c r="J47" i="2" s="1"/>
  <c r="I58" i="2"/>
  <c r="H58" i="2"/>
  <c r="H47" i="2" s="1"/>
  <c r="G58" i="2"/>
  <c r="F58" i="2"/>
  <c r="D58" i="2" s="1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O47" i="2"/>
  <c r="M47" i="2"/>
  <c r="K47" i="2"/>
  <c r="I47" i="2"/>
  <c r="G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 s="1"/>
  <c r="P44" i="2"/>
  <c r="O44" i="2"/>
  <c r="N44" i="2"/>
  <c r="M44" i="2"/>
  <c r="L44" i="2"/>
  <c r="L42" i="2" s="1"/>
  <c r="K44" i="2"/>
  <c r="J44" i="2"/>
  <c r="I44" i="2"/>
  <c r="H44" i="2"/>
  <c r="G44" i="2"/>
  <c r="F44" i="2"/>
  <c r="E44" i="2"/>
  <c r="D44" i="2"/>
  <c r="P43" i="2"/>
  <c r="O43" i="2"/>
  <c r="N43" i="2"/>
  <c r="M43" i="2"/>
  <c r="L43" i="2"/>
  <c r="K43" i="2"/>
  <c r="J43" i="2"/>
  <c r="I43" i="2"/>
  <c r="H43" i="2"/>
  <c r="G43" i="2"/>
  <c r="F43" i="2"/>
  <c r="E43" i="2"/>
  <c r="E42" i="2" s="1"/>
  <c r="P42" i="2"/>
  <c r="P39" i="2"/>
  <c r="P24" i="2" s="1"/>
  <c r="P38" i="2"/>
  <c r="O38" i="2"/>
  <c r="O39" i="2" s="1"/>
  <c r="O24" i="2" s="1"/>
  <c r="N38" i="2"/>
  <c r="M38" i="2"/>
  <c r="L38" i="2"/>
  <c r="K38" i="2"/>
  <c r="K39" i="2" s="1"/>
  <c r="K24" i="2" s="1"/>
  <c r="J38" i="2"/>
  <c r="I38" i="2"/>
  <c r="I39" i="2" s="1"/>
  <c r="I24" i="2" s="1"/>
  <c r="H38" i="2"/>
  <c r="G38" i="2"/>
  <c r="G39" i="2" s="1"/>
  <c r="G24" i="2" s="1"/>
  <c r="F38" i="2"/>
  <c r="E38" i="2"/>
  <c r="N37" i="2"/>
  <c r="M37" i="2"/>
  <c r="M39" i="2" s="1"/>
  <c r="M24" i="2" s="1"/>
  <c r="L37" i="2"/>
  <c r="L39" i="2" s="1"/>
  <c r="L24" i="2" s="1"/>
  <c r="K37" i="2"/>
  <c r="J37" i="2"/>
  <c r="I37" i="2"/>
  <c r="H37" i="2"/>
  <c r="H39" i="2" s="1"/>
  <c r="H24" i="2" s="1"/>
  <c r="G37" i="2"/>
  <c r="F37" i="2"/>
  <c r="E37" i="2"/>
  <c r="E39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F16" i="2"/>
  <c r="E16" i="2"/>
  <c r="D16" i="2" s="1"/>
  <c r="P15" i="2"/>
  <c r="O15" i="2"/>
  <c r="N15" i="2"/>
  <c r="M15" i="2"/>
  <c r="L15" i="2"/>
  <c r="K15" i="2"/>
  <c r="J15" i="2"/>
  <c r="I15" i="2"/>
  <c r="H15" i="2"/>
  <c r="G15" i="2"/>
  <c r="F15" i="2"/>
  <c r="E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3" i="2"/>
  <c r="O13" i="2"/>
  <c r="N13" i="2"/>
  <c r="M13" i="2"/>
  <c r="L13" i="2"/>
  <c r="K13" i="2"/>
  <c r="J13" i="2"/>
  <c r="I13" i="2"/>
  <c r="H13" i="2"/>
  <c r="G13" i="2"/>
  <c r="F13" i="2"/>
  <c r="E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 s="1"/>
  <c r="A12" i="2"/>
  <c r="A13" i="2" s="1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L7" i="2"/>
  <c r="A7" i="2"/>
  <c r="J5" i="2"/>
  <c r="K5" i="2" s="1"/>
  <c r="L5" i="2" s="1"/>
  <c r="M5" i="2" s="1"/>
  <c r="N5" i="2" s="1"/>
  <c r="O5" i="2" s="1"/>
  <c r="P5" i="2" s="1"/>
  <c r="I5" i="2"/>
  <c r="F5" i="2"/>
  <c r="G5" i="2" s="1"/>
  <c r="H5" i="2" s="1"/>
  <c r="D15" i="2" l="1"/>
  <c r="F42" i="2"/>
  <c r="J42" i="2"/>
  <c r="M9" i="3"/>
  <c r="M11" i="3" s="1"/>
  <c r="M15" i="3"/>
  <c r="D9" i="2"/>
  <c r="D11" i="2"/>
  <c r="C9" i="3"/>
  <c r="K9" i="3"/>
  <c r="E11" i="3"/>
  <c r="E13" i="3" s="1"/>
  <c r="E15" i="3" s="1"/>
  <c r="E19" i="3" s="1"/>
  <c r="I42" i="2"/>
  <c r="I9" i="3"/>
  <c r="I11" i="3"/>
  <c r="I13" i="3" s="1"/>
  <c r="I15" i="3" s="1"/>
  <c r="I19" i="3" s="1"/>
  <c r="D8" i="2"/>
  <c r="D10" i="2"/>
  <c r="R11" i="2"/>
  <c r="K42" i="2"/>
  <c r="D68" i="2"/>
  <c r="E9" i="3"/>
  <c r="E24" i="2"/>
  <c r="O142" i="2"/>
  <c r="O140" i="2"/>
  <c r="O7" i="2"/>
  <c r="O128" i="2"/>
  <c r="O84" i="2"/>
  <c r="R17" i="2"/>
  <c r="H128" i="2"/>
  <c r="H140" i="2" s="1"/>
  <c r="H84" i="2"/>
  <c r="H7" i="2"/>
  <c r="I7" i="2"/>
  <c r="R12" i="2"/>
  <c r="G128" i="2"/>
  <c r="G140" i="2" s="1"/>
  <c r="G84" i="2"/>
  <c r="G7" i="2"/>
  <c r="I84" i="2"/>
  <c r="R19" i="2"/>
  <c r="R45" i="2"/>
  <c r="R65" i="2"/>
  <c r="D18" i="3"/>
  <c r="E7" i="3"/>
  <c r="L128" i="2"/>
  <c r="L140" i="2" s="1"/>
  <c r="L84" i="2"/>
  <c r="R8" i="2"/>
  <c r="K128" i="2"/>
  <c r="K140" i="2" s="1"/>
  <c r="K84" i="2"/>
  <c r="M128" i="2"/>
  <c r="M140" i="2" s="1"/>
  <c r="M84" i="2"/>
  <c r="M7" i="2"/>
  <c r="P140" i="2"/>
  <c r="P128" i="2"/>
  <c r="P84" i="2"/>
  <c r="P142" i="2"/>
  <c r="P7" i="2"/>
  <c r="K7" i="2"/>
  <c r="R16" i="2"/>
  <c r="H42" i="2"/>
  <c r="I128" i="2"/>
  <c r="I140" i="2" s="1"/>
  <c r="R9" i="2"/>
  <c r="R10" i="2"/>
  <c r="R20" i="2"/>
  <c r="O42" i="2"/>
  <c r="N42" i="2"/>
  <c r="R96" i="2"/>
  <c r="N10" i="3"/>
  <c r="D13" i="2"/>
  <c r="R13" i="2"/>
  <c r="R15" i="2"/>
  <c r="R18" i="2"/>
  <c r="D21" i="2"/>
  <c r="D22" i="2"/>
  <c r="R22" i="2"/>
  <c r="M42" i="2"/>
  <c r="R46" i="2"/>
  <c r="D47" i="2"/>
  <c r="D14" i="2"/>
  <c r="D18" i="2"/>
  <c r="F39" i="2"/>
  <c r="F24" i="2" s="1"/>
  <c r="J39" i="2"/>
  <c r="J24" i="2" s="1"/>
  <c r="N39" i="2"/>
  <c r="N24" i="2" s="1"/>
  <c r="R44" i="2"/>
  <c r="G42" i="2"/>
  <c r="D42" i="2" s="1"/>
  <c r="R68" i="2"/>
  <c r="R72" i="2" s="1"/>
  <c r="R82" i="2"/>
  <c r="R102" i="2"/>
  <c r="D9" i="3"/>
  <c r="D11" i="3" s="1"/>
  <c r="D13" i="3" s="1"/>
  <c r="D15" i="3" s="1"/>
  <c r="D19" i="3" s="1"/>
  <c r="H9" i="3"/>
  <c r="H11" i="3" s="1"/>
  <c r="H13" i="3" s="1"/>
  <c r="H15" i="3" s="1"/>
  <c r="H19" i="3" s="1"/>
  <c r="L15" i="3"/>
  <c r="L13" i="3"/>
  <c r="L9" i="3"/>
  <c r="L11" i="3" s="1"/>
  <c r="R23" i="2"/>
  <c r="D38" i="2"/>
  <c r="R38" i="2"/>
  <c r="R39" i="2" s="1"/>
  <c r="D43" i="2"/>
  <c r="R43" i="2"/>
  <c r="D69" i="2"/>
  <c r="R69" i="2"/>
  <c r="R73" i="2" s="1"/>
  <c r="E73" i="2"/>
  <c r="D124" i="2"/>
  <c r="D138" i="2"/>
  <c r="B11" i="3"/>
  <c r="F11" i="3"/>
  <c r="F13" i="3" s="1"/>
  <c r="F15" i="3" s="1"/>
  <c r="F19" i="3" s="1"/>
  <c r="J11" i="3"/>
  <c r="J13" i="3" s="1"/>
  <c r="J15" i="3" s="1"/>
  <c r="J19" i="3" s="1"/>
  <c r="M19" i="3"/>
  <c r="N8" i="3"/>
  <c r="C11" i="3"/>
  <c r="C13" i="3" s="1"/>
  <c r="C15" i="3" s="1"/>
  <c r="C19" i="3" s="1"/>
  <c r="G11" i="3"/>
  <c r="G13" i="3" s="1"/>
  <c r="G15" i="3" s="1"/>
  <c r="G19" i="3" s="1"/>
  <c r="K11" i="3"/>
  <c r="K13" i="3" s="1"/>
  <c r="K15" i="3" s="1"/>
  <c r="K19" i="3" s="1"/>
  <c r="L142" i="2" l="1"/>
  <c r="K20" i="3"/>
  <c r="M142" i="2"/>
  <c r="I142" i="2"/>
  <c r="C20" i="3"/>
  <c r="G20" i="3"/>
  <c r="J20" i="3"/>
  <c r="H20" i="3"/>
  <c r="K142" i="2"/>
  <c r="F20" i="3"/>
  <c r="D20" i="3"/>
  <c r="G142" i="2"/>
  <c r="I20" i="3"/>
  <c r="E128" i="2"/>
  <c r="E84" i="2"/>
  <c r="E7" i="2"/>
  <c r="E140" i="2"/>
  <c r="E142" i="2" s="1"/>
  <c r="D24" i="2"/>
  <c r="E20" i="3"/>
  <c r="N84" i="2"/>
  <c r="N128" i="2"/>
  <c r="N140" i="2" s="1"/>
  <c r="N7" i="2"/>
  <c r="N9" i="3"/>
  <c r="H142" i="2"/>
  <c r="D39" i="2"/>
  <c r="J84" i="2"/>
  <c r="J128" i="2"/>
  <c r="J140" i="2" s="1"/>
  <c r="J7" i="2"/>
  <c r="E18" i="3"/>
  <c r="F7" i="3"/>
  <c r="R42" i="2"/>
  <c r="R47" i="2" s="1"/>
  <c r="M20" i="3"/>
  <c r="B13" i="3"/>
  <c r="N11" i="3"/>
  <c r="F84" i="2"/>
  <c r="F128" i="2"/>
  <c r="F140" i="2" s="1"/>
  <c r="F142" i="2" s="1"/>
  <c r="F7" i="2"/>
  <c r="J142" i="2" l="1"/>
  <c r="N142" i="2"/>
  <c r="R7" i="2"/>
  <c r="R24" i="2" s="1"/>
  <c r="R84" i="2" s="1"/>
  <c r="D7" i="2"/>
  <c r="N13" i="3"/>
  <c r="B15" i="3"/>
  <c r="D84" i="2"/>
  <c r="R140" i="2"/>
  <c r="G7" i="3"/>
  <c r="F18" i="3"/>
  <c r="D140" i="2"/>
  <c r="D128" i="2"/>
  <c r="R128" i="2"/>
  <c r="D142" i="2" l="1"/>
  <c r="G18" i="3"/>
  <c r="H7" i="3"/>
  <c r="N15" i="3"/>
  <c r="N19" i="3" s="1"/>
  <c r="N20" i="3" s="1"/>
  <c r="B19" i="3"/>
  <c r="H18" i="3" l="1"/>
  <c r="I7" i="3"/>
  <c r="B20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750F09D5-5C68-41FA-95DC-3EDC1D0E36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5EC67F3-D11E-401F-B87B-1BA3E4A72A8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E7CDAA97-742E-4445-A417-354A5D4EC64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41B04D63-C892-4754-84B3-06F3077CC8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1A0FE4C9-6CF9-4ECA-AC0E-ACC8602FF80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EB92389-CCC0-4C65-9DA5-CA96DAFA64B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5399DE53-05F5-4D97-A559-652BF86072F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A7209B3-3279-479F-ABFA-F0888D97C30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EAF7640E-B3AA-4419-8DF7-A0665A20500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F6EDF0-8E25-4DB5-A5B0-68B1C065D9E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655D9D4F-3707-4F75-8A7B-47BBEB07E70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A503FE5-C45B-42DF-89C1-F1D5B2762E8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3E5E847B-208B-4045-967A-27E2772181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9041702F-541D-4F4A-8576-201C53995D1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3A45EE4F-875B-4163-BC4A-708DFC6A323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1154CA31-D573-472B-9D47-3520C21871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AAEAD03E-7AF7-44EA-A7BB-2FF109CD53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363447CC-6E8B-4734-A6F0-C618CDC8B27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490008C8-CD74-4698-8A8A-102749CD84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476B2B3D-0BE4-4476-B671-DE8E22FC72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1318AB65-5F42-401F-B717-2E179559C6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820E9445-A35E-4290-8E20-066DE3B45D7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8840A5BA-F4FD-4408-B03D-5E9C6F2FA87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B38" authorId="0" shapeId="0" xr:uid="{431512AE-B4E8-43E7-A659-DB754AECDE7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1E9C8C9B-6EBC-4695-91EC-4558C85C73DE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B8A0C30F-8B4F-4AA6-A1A0-6FDCA8C4017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E5C9DFF5-81AF-4BC4-9AAE-18952287A42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77374D31-A7A4-4621-BBB5-7FD0B4FBE0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A84E8F03-147D-440E-843F-7D71989BFE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401FF4D-5D15-4C32-9ABD-E666A2F7EBD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F873B48A-29E4-4E7E-9D2E-8CA72DDFF1C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D6DF76D8-39F9-49BD-9939-663B638241E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AFE8F65B-4883-453B-8CF4-BCA835928A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280EEFBE-6977-4016-9EB9-644480A520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F757CB00-140C-481A-8706-E42C741D38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2507EF32-DDE2-44A6-900B-D159BC2BC3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0FC221CA-5CB6-4CEE-B6B4-D0A9FFD828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73D187D8-B307-43C1-B3B1-AE4C88C5B8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B4B5A05B-2B9A-490C-9E42-89F7B91DEB8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AB54A91-8186-49B1-A63F-B07F960EA6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35138436-8218-41C8-8AEA-C280C18AF72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4495D2DA-591A-4112-B2E8-D911B2A9791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86A48EFD-0950-4035-AEB8-132BCBC5208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6A533AB-2F56-46C5-80A3-CC8ABD22ED7C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00E7ED65-FCEE-4AAC-A05D-D68DAA1D012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6E9E07F3-E219-4B7F-A047-C7E37CBFCAC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9B4ADA9-BD21-4C1C-B871-60C59C3768B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2859C44F-F3BC-456A-9EC4-31D9E401F32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C0EB5EA6-C766-419C-B285-075E36CEF8DF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609DA47-47A9-404F-AA76-9A47A25CE6E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D5EA0B4E-3C7B-44C0-AE52-65C9F9851F7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5C8BB6E3-C5EB-4B45-8094-656592933D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C46DA66A-D9BD-4874-A31B-8D00149360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<sst xmlns="http://schemas.openxmlformats.org/spreadsheetml/2006/main" count="228" uniqueCount="178">
  <si>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</si>
  <si>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</si>
  <si>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</si>
  <si>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</si>
  <si>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</si>
  <si>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</si>
  <si>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</si>
  <si>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</si>
  <si>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</si>
  <si>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</si>
  <si>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</si>
  <si>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</si>
  <si>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</si>
  <si>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</si>
  <si>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</si>
  <si>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Oct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</si>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</sst>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%202021%20WA%20%20ID%20Actual%20Deferrals%20Updated%2010.01.2021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  <cell r="J19">
            <v>1191666.67</v>
          </cell>
          <cell r="K19">
            <v>1191666.67</v>
          </cell>
          <cell r="L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  <cell r="J20">
            <v>327791.83</v>
          </cell>
          <cell r="K20">
            <v>206412.11</v>
          </cell>
          <cell r="L20">
            <v>187476.31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  <cell r="J21">
            <v>181634</v>
          </cell>
          <cell r="K21">
            <v>181634</v>
          </cell>
          <cell r="L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  <cell r="J22">
            <v>939387.38</v>
          </cell>
          <cell r="K22">
            <v>939387.38</v>
          </cell>
          <cell r="L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  <cell r="J24">
            <v>868.75</v>
          </cell>
          <cell r="K24">
            <v>780.55</v>
          </cell>
          <cell r="L24">
            <v>797.35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31100.02</v>
          </cell>
          <cell r="K25">
            <v>30364.89</v>
          </cell>
          <cell r="L25">
            <v>33366.32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  <cell r="J35">
            <v>167389.14000000001</v>
          </cell>
          <cell r="K35">
            <v>121136.65</v>
          </cell>
          <cell r="L35">
            <v>160805.26999999999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  <cell r="J36">
            <v>0</v>
          </cell>
          <cell r="K36">
            <v>830.16</v>
          </cell>
          <cell r="L36">
            <v>47826.44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  <cell r="J37">
            <v>493357.14</v>
          </cell>
          <cell r="K37">
            <v>455000.85</v>
          </cell>
          <cell r="L37">
            <v>474358.23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  <cell r="J38">
            <v>1486.5</v>
          </cell>
          <cell r="K38">
            <v>1486.5</v>
          </cell>
          <cell r="L38">
            <v>1269.1400000000001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  <cell r="J39">
            <v>2448343.7999999998</v>
          </cell>
          <cell r="K39">
            <v>2457035.9700000002</v>
          </cell>
          <cell r="L39">
            <v>2457458.02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  <cell r="J40">
            <v>1445899.84</v>
          </cell>
          <cell r="K40">
            <v>1640441.88</v>
          </cell>
          <cell r="L40">
            <v>1956540.74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  <cell r="J41">
            <v>923141.2</v>
          </cell>
          <cell r="K41">
            <v>929580.5</v>
          </cell>
          <cell r="L41">
            <v>1167308.1000000001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  <cell r="J45">
            <v>-298929.28999999998</v>
          </cell>
          <cell r="K45">
            <v>-318690.71999999997</v>
          </cell>
          <cell r="L45">
            <v>-238971.18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  <cell r="J46">
            <v>-11527.77</v>
          </cell>
          <cell r="K46">
            <v>-10924.53</v>
          </cell>
          <cell r="L46">
            <v>-11859.8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  <cell r="J47">
            <v>-19353.46</v>
          </cell>
          <cell r="K47">
            <v>-21213.16</v>
          </cell>
          <cell r="L47">
            <v>-29066.66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  <cell r="J50">
            <v>52195</v>
          </cell>
          <cell r="K50">
            <v>46530</v>
          </cell>
          <cell r="L50">
            <v>50278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  <cell r="J51">
            <v>80421</v>
          </cell>
          <cell r="K51">
            <v>90783</v>
          </cell>
          <cell r="L51">
            <v>96222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  <cell r="J54">
            <v>533857</v>
          </cell>
          <cell r="K54">
            <v>457882</v>
          </cell>
          <cell r="L54">
            <v>409808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  <cell r="J55">
            <v>270063</v>
          </cell>
          <cell r="K55">
            <v>234260</v>
          </cell>
          <cell r="L55">
            <v>259081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13</v>
          </cell>
          <cell r="M57">
            <v>13</v>
          </cell>
          <cell r="N57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D3CA-1EA4-4F7A-A17E-BA73384BF6CD}">
  <sheetPr>
    <pageSetUpPr fitToPage="1"/>
  </sheetPr>
  <dimension ref="A1:S90"/>
  <sheetViews>
    <sheetView tabSelected="1" zoomScaleNormal="100" workbookViewId="0">
      <pane xSplit="3" ySplit="5" topLeftCell="J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3" customWidth="1"/>
    <col min="2" max="2" width="10.73046875" style="1" customWidth="1"/>
    <col min="3" max="3" width="24.265625" style="1" customWidth="1"/>
    <col min="4" max="4" width="9" style="1" customWidth="1" outlineLevel="1"/>
    <col min="5" max="5" width="5.265625" style="1" customWidth="1" outlineLevel="1"/>
    <col min="6" max="6" width="14.59765625" style="1" bestFit="1" customWidth="1"/>
    <col min="7" max="10" width="15.73046875" style="1" bestFit="1" customWidth="1"/>
    <col min="11" max="11" width="12.73046875" style="1" customWidth="1"/>
    <col min="12" max="17" width="15.73046875" style="1" bestFit="1" customWidth="1"/>
    <col min="18" max="18" width="13.1328125" style="1" customWidth="1"/>
    <col min="19" max="19" width="13.86328125" style="1" customWidth="1"/>
    <col min="20" max="20" width="13.1328125" style="1" customWidth="1"/>
    <col min="21" max="16384" width="9.1328125" style="1"/>
  </cols>
  <sheetData>
    <row r="1" spans="1:19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191" t="s">
        <v>5</v>
      </c>
      <c r="E5" s="191"/>
      <c r="F5" s="7">
        <v>44227</v>
      </c>
      <c r="G5" s="7">
        <v>44255</v>
      </c>
      <c r="H5" s="7">
        <v>44286</v>
      </c>
      <c r="I5" s="7">
        <v>44316</v>
      </c>
      <c r="J5" s="7">
        <v>44347</v>
      </c>
      <c r="K5" s="7">
        <v>44377</v>
      </c>
      <c r="L5" s="7">
        <v>44408</v>
      </c>
      <c r="M5" s="7">
        <v>44439</v>
      </c>
      <c r="N5" s="7">
        <v>44469</v>
      </c>
      <c r="O5" s="7">
        <v>44500</v>
      </c>
      <c r="P5" s="7">
        <v>44530</v>
      </c>
      <c r="Q5" s="7">
        <v>44561</v>
      </c>
    </row>
    <row r="6" spans="1:19" ht="15.95" customHeight="1">
      <c r="A6" s="3">
        <v>1</v>
      </c>
      <c r="B6" s="1" t="s">
        <v>6</v>
      </c>
      <c r="D6" s="192">
        <v>120883535.51139998</v>
      </c>
      <c r="E6" s="192"/>
      <c r="F6" s="8">
        <v>10842389.874600001</v>
      </c>
      <c r="G6" s="8">
        <v>11196253.897</v>
      </c>
      <c r="H6" s="8">
        <v>12433514.0331</v>
      </c>
      <c r="I6" s="8">
        <v>11603998.428099999</v>
      </c>
      <c r="J6" s="8">
        <v>10047314.4113</v>
      </c>
      <c r="K6" s="8">
        <v>15128565.1768</v>
      </c>
      <c r="L6" s="8">
        <v>14183396.263</v>
      </c>
      <c r="M6" s="8">
        <v>14703950.4849</v>
      </c>
      <c r="N6" s="8">
        <v>9678910.1688999999</v>
      </c>
      <c r="O6" s="8">
        <v>11065242.773700001</v>
      </c>
      <c r="P6" s="8">
        <v>0</v>
      </c>
      <c r="Q6" s="8">
        <v>0</v>
      </c>
    </row>
    <row r="7" spans="1:19" ht="15.95" customHeight="1">
      <c r="A7" s="3">
        <v>2</v>
      </c>
      <c r="B7" s="1" t="s">
        <v>7</v>
      </c>
      <c r="D7" s="186">
        <v>-70038687</v>
      </c>
      <c r="E7" s="186"/>
      <c r="F7" s="8">
        <v>-6141300</v>
      </c>
      <c r="G7" s="8">
        <v>-10652299</v>
      </c>
      <c r="H7" s="8">
        <v>-4461531</v>
      </c>
      <c r="I7" s="8">
        <v>-4528743</v>
      </c>
      <c r="J7" s="8">
        <v>-9283538</v>
      </c>
      <c r="K7" s="8">
        <v>782514</v>
      </c>
      <c r="L7" s="8">
        <v>-2250746</v>
      </c>
      <c r="M7" s="8">
        <v>-7333188</v>
      </c>
      <c r="N7" s="8">
        <v>-13172401</v>
      </c>
      <c r="O7" s="8">
        <v>-12997455</v>
      </c>
      <c r="P7" s="8">
        <v>0</v>
      </c>
      <c r="Q7" s="8">
        <v>0</v>
      </c>
    </row>
    <row r="8" spans="1:19" ht="15.95" customHeight="1">
      <c r="A8" s="3">
        <v>3</v>
      </c>
      <c r="B8" s="1" t="s">
        <v>8</v>
      </c>
      <c r="D8" s="185">
        <v>27094465</v>
      </c>
      <c r="E8" s="185"/>
      <c r="F8" s="8">
        <v>3076898</v>
      </c>
      <c r="G8" s="8">
        <v>2528161</v>
      </c>
      <c r="H8" s="8">
        <v>3256809</v>
      </c>
      <c r="I8" s="8">
        <v>1685015</v>
      </c>
      <c r="J8" s="8">
        <v>1349895</v>
      </c>
      <c r="K8" s="8">
        <v>1969382</v>
      </c>
      <c r="L8" s="8">
        <v>3030827</v>
      </c>
      <c r="M8" s="8">
        <v>2887838</v>
      </c>
      <c r="N8" s="8">
        <v>3778845</v>
      </c>
      <c r="O8" s="8">
        <v>3530795</v>
      </c>
      <c r="P8" s="8">
        <v>0</v>
      </c>
      <c r="Q8" s="8">
        <v>0</v>
      </c>
    </row>
    <row r="9" spans="1:19" ht="15.95" customHeight="1">
      <c r="A9" s="3">
        <v>4</v>
      </c>
      <c r="B9" s="1" t="s">
        <v>9</v>
      </c>
      <c r="D9" s="185">
        <v>72904171</v>
      </c>
      <c r="E9" s="185"/>
      <c r="F9" s="8">
        <v>6183441</v>
      </c>
      <c r="G9" s="8">
        <v>9662506</v>
      </c>
      <c r="H9" s="8">
        <v>3546107</v>
      </c>
      <c r="I9" s="8">
        <v>4135657</v>
      </c>
      <c r="J9" s="8">
        <v>3691972</v>
      </c>
      <c r="K9" s="8">
        <v>2361505</v>
      </c>
      <c r="L9" s="8">
        <v>9615616</v>
      </c>
      <c r="M9" s="8">
        <v>10102506</v>
      </c>
      <c r="N9" s="8">
        <v>10315651</v>
      </c>
      <c r="O9" s="8">
        <v>13289210</v>
      </c>
      <c r="P9" s="8">
        <v>0</v>
      </c>
      <c r="Q9" s="8">
        <v>0</v>
      </c>
    </row>
    <row r="10" spans="1:19" ht="15.95" customHeight="1">
      <c r="A10" s="3">
        <v>5</v>
      </c>
      <c r="B10" s="1" t="s">
        <v>10</v>
      </c>
      <c r="C10" s="9"/>
      <c r="D10" s="186">
        <v>-18747070</v>
      </c>
      <c r="E10" s="186"/>
      <c r="F10" s="8">
        <v>-1152745</v>
      </c>
      <c r="G10" s="8">
        <v>-1459637</v>
      </c>
      <c r="H10" s="8">
        <v>-1197340</v>
      </c>
      <c r="I10" s="8">
        <v>-1166811</v>
      </c>
      <c r="J10" s="8">
        <v>-1770478</v>
      </c>
      <c r="K10" s="8">
        <v>-2216150</v>
      </c>
      <c r="L10" s="8">
        <v>-2759025</v>
      </c>
      <c r="M10" s="8">
        <v>-2687385</v>
      </c>
      <c r="N10" s="8">
        <v>-2240835</v>
      </c>
      <c r="O10" s="8">
        <v>-2096664</v>
      </c>
      <c r="P10" s="8">
        <v>0</v>
      </c>
      <c r="Q10" s="8">
        <v>0</v>
      </c>
    </row>
    <row r="11" spans="1:19" ht="15.95" customHeight="1">
      <c r="A11" s="3">
        <v>6</v>
      </c>
      <c r="B11" s="1" t="s">
        <v>11</v>
      </c>
      <c r="C11" s="9"/>
      <c r="D11" s="185">
        <v>15225655</v>
      </c>
      <c r="E11" s="185"/>
      <c r="F11" s="8">
        <v>1427937</v>
      </c>
      <c r="G11" s="8">
        <v>1395907</v>
      </c>
      <c r="H11" s="8">
        <v>1456732</v>
      </c>
      <c r="I11" s="8">
        <v>1373241</v>
      </c>
      <c r="J11" s="8">
        <v>1340017</v>
      </c>
      <c r="K11" s="8">
        <v>1413349</v>
      </c>
      <c r="L11" s="8">
        <v>1752555</v>
      </c>
      <c r="M11" s="8">
        <v>1792737</v>
      </c>
      <c r="N11" s="8">
        <v>1620392</v>
      </c>
      <c r="O11" s="8">
        <v>1652788</v>
      </c>
      <c r="P11" s="8">
        <v>0</v>
      </c>
      <c r="Q11" s="8">
        <v>0</v>
      </c>
    </row>
    <row r="12" spans="1:19" ht="15.95" customHeight="1">
      <c r="A12" s="3">
        <v>7</v>
      </c>
      <c r="B12" s="1" t="s">
        <v>12</v>
      </c>
      <c r="C12" s="9"/>
      <c r="D12" s="185">
        <v>551075</v>
      </c>
      <c r="E12" s="185"/>
      <c r="F12" s="8">
        <v>34336</v>
      </c>
      <c r="G12" s="8">
        <v>44852</v>
      </c>
      <c r="H12" s="8">
        <v>37143</v>
      </c>
      <c r="I12" s="8">
        <v>39091</v>
      </c>
      <c r="J12" s="8">
        <v>33946</v>
      </c>
      <c r="K12" s="8">
        <v>48761</v>
      </c>
      <c r="L12" s="8">
        <v>143618</v>
      </c>
      <c r="M12" s="8">
        <v>79288</v>
      </c>
      <c r="N12" s="8">
        <v>56524</v>
      </c>
      <c r="O12" s="8">
        <v>33516</v>
      </c>
      <c r="P12" s="8">
        <v>0</v>
      </c>
      <c r="Q12" s="8">
        <v>0</v>
      </c>
    </row>
    <row r="13" spans="1:19" ht="15.95" customHeight="1">
      <c r="A13" s="3">
        <v>8</v>
      </c>
      <c r="B13" s="10" t="s">
        <v>13</v>
      </c>
      <c r="C13" s="10"/>
      <c r="D13" s="183">
        <v>147873144.51139998</v>
      </c>
      <c r="E13" s="183"/>
      <c r="F13" s="11">
        <v>14270956.874600001</v>
      </c>
      <c r="G13" s="11">
        <v>12715743.897</v>
      </c>
      <c r="H13" s="11">
        <v>15071434.0331</v>
      </c>
      <c r="I13" s="11">
        <v>13141448.428099999</v>
      </c>
      <c r="J13" s="11">
        <v>5409128.4112999998</v>
      </c>
      <c r="K13" s="11">
        <v>19487926.176799998</v>
      </c>
      <c r="L13" s="11">
        <v>23716241.263</v>
      </c>
      <c r="M13" s="11">
        <v>19545746.484899998</v>
      </c>
      <c r="N13" s="11">
        <v>10037086.1689</v>
      </c>
      <c r="O13" s="11">
        <v>14477432.773700001</v>
      </c>
      <c r="P13" s="11">
        <v>0</v>
      </c>
      <c r="Q13" s="11">
        <v>0</v>
      </c>
    </row>
    <row r="14" spans="1:19" ht="37.5" customHeight="1">
      <c r="B14" s="5" t="s">
        <v>14</v>
      </c>
      <c r="C14" s="6"/>
      <c r="D14" s="187" t="s">
        <v>15</v>
      </c>
      <c r="E14" s="188"/>
      <c r="F14" s="12">
        <v>44227</v>
      </c>
      <c r="G14" s="12">
        <v>44255</v>
      </c>
      <c r="H14" s="12">
        <v>44286</v>
      </c>
      <c r="I14" s="12">
        <v>44316</v>
      </c>
      <c r="J14" s="12">
        <v>44347</v>
      </c>
      <c r="K14" s="12">
        <v>44377</v>
      </c>
      <c r="L14" s="12">
        <v>44408</v>
      </c>
      <c r="M14" s="12">
        <v>44439</v>
      </c>
      <c r="N14" s="12">
        <v>44469</v>
      </c>
      <c r="O14" s="12">
        <v>44500</v>
      </c>
      <c r="P14" s="12">
        <v>44530</v>
      </c>
      <c r="Q14" s="12">
        <v>44561</v>
      </c>
    </row>
    <row r="15" spans="1:19" ht="15.95" customHeight="1">
      <c r="A15" s="3">
        <v>9</v>
      </c>
      <c r="B15" s="1" t="s">
        <v>6</v>
      </c>
      <c r="C15" s="9"/>
      <c r="D15" s="182">
        <v>88483712.069999993</v>
      </c>
      <c r="E15" s="182"/>
      <c r="F15" s="13">
        <v>11810646.23</v>
      </c>
      <c r="G15" s="13">
        <v>10948943.210000001</v>
      </c>
      <c r="H15" s="13">
        <v>10208755.66</v>
      </c>
      <c r="I15" s="13">
        <v>9754466.1899999995</v>
      </c>
      <c r="J15" s="13">
        <v>7204007.3300000001</v>
      </c>
      <c r="K15" s="13">
        <v>6832768.3600000003</v>
      </c>
      <c r="L15" s="13">
        <v>7367141.2599999998</v>
      </c>
      <c r="M15" s="13">
        <v>8064915.6600000001</v>
      </c>
      <c r="N15" s="13">
        <v>7448796.1699999999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2">
        <v>-48675253.329999998</v>
      </c>
      <c r="E16" s="182"/>
      <c r="F16" s="16">
        <v>-5410854.46</v>
      </c>
      <c r="G16" s="16">
        <v>-3688134.45</v>
      </c>
      <c r="H16" s="16">
        <v>-4363040.83</v>
      </c>
      <c r="I16" s="16">
        <v>-6216671.5899999999</v>
      </c>
      <c r="J16" s="16">
        <v>-3992970.36</v>
      </c>
      <c r="K16" s="16">
        <v>-3782255.59</v>
      </c>
      <c r="L16" s="16">
        <v>-5325599.3499999996</v>
      </c>
      <c r="M16" s="16">
        <v>-3215250.64</v>
      </c>
      <c r="N16" s="16">
        <v>-4016772.06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2">
        <v>24203599.900000002</v>
      </c>
      <c r="E17" s="182"/>
      <c r="F17" s="13">
        <v>2892906.32</v>
      </c>
      <c r="G17" s="13">
        <v>2671552.1800000002</v>
      </c>
      <c r="H17" s="13">
        <v>2768328.21</v>
      </c>
      <c r="I17" s="13">
        <v>2491504.9500000002</v>
      </c>
      <c r="J17" s="13">
        <v>1551263.17</v>
      </c>
      <c r="K17" s="13">
        <v>1358750.78</v>
      </c>
      <c r="L17" s="13">
        <v>2219592.2200000002</v>
      </c>
      <c r="M17" s="13">
        <v>2478124.66</v>
      </c>
      <c r="N17" s="13">
        <v>2578207.41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2">
        <v>58536090.269999988</v>
      </c>
      <c r="E18" s="182"/>
      <c r="F18" s="13">
        <v>8800466.8599999994</v>
      </c>
      <c r="G18" s="13">
        <v>7046200.3099999996</v>
      </c>
      <c r="H18" s="13">
        <v>6405716.6299999999</v>
      </c>
      <c r="I18" s="13">
        <v>4139184.54</v>
      </c>
      <c r="J18" s="13">
        <v>1426182.27</v>
      </c>
      <c r="K18" s="13">
        <v>1698326.77</v>
      </c>
      <c r="L18" s="13">
        <v>5653252.0099999998</v>
      </c>
      <c r="M18" s="13">
        <v>7341418.3399999999</v>
      </c>
      <c r="N18" s="13">
        <v>6493557.54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2">
        <v>-13024360.91</v>
      </c>
      <c r="E19" s="182"/>
      <c r="F19" s="16">
        <v>-1062694.25</v>
      </c>
      <c r="G19" s="16">
        <v>-1178480.71</v>
      </c>
      <c r="H19" s="16">
        <v>-1177115.3999999999</v>
      </c>
      <c r="I19" s="16">
        <v>-1141305.3700000001</v>
      </c>
      <c r="J19" s="16">
        <v>-1253487.52</v>
      </c>
      <c r="K19" s="16">
        <v>-1398528.7</v>
      </c>
      <c r="L19" s="16">
        <v>-1450378.42</v>
      </c>
      <c r="M19" s="16">
        <v>-1346818.86</v>
      </c>
      <c r="N19" s="16">
        <v>-1372212.68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2">
        <v>14574781.029999999</v>
      </c>
      <c r="E20" s="182"/>
      <c r="F20" s="17">
        <v>1386858.05</v>
      </c>
      <c r="G20" s="17">
        <v>1618473.12</v>
      </c>
      <c r="H20" s="17">
        <v>1456728.23</v>
      </c>
      <c r="I20" s="17">
        <v>1423781.13</v>
      </c>
      <c r="J20" s="17">
        <v>1394142.28</v>
      </c>
      <c r="K20" s="17">
        <v>1391307.66</v>
      </c>
      <c r="L20" s="17">
        <v>1452951.07</v>
      </c>
      <c r="M20" s="17">
        <v>1443201.71</v>
      </c>
      <c r="N20" s="17">
        <v>1567440.78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2">
        <v>360886</v>
      </c>
      <c r="E21" s="182"/>
      <c r="F21" s="13">
        <v>34250</v>
      </c>
      <c r="G21" s="13">
        <v>34250</v>
      </c>
      <c r="H21" s="13">
        <v>34250</v>
      </c>
      <c r="I21" s="13">
        <v>34250</v>
      </c>
      <c r="J21" s="13">
        <v>34250</v>
      </c>
      <c r="K21" s="13">
        <v>34250</v>
      </c>
      <c r="L21" s="13">
        <v>34250</v>
      </c>
      <c r="M21" s="13">
        <v>34250</v>
      </c>
      <c r="N21" s="13">
        <v>34250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2">
        <v>-420270</v>
      </c>
      <c r="E22" s="182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2">
        <v>-2267229.5298950248</v>
      </c>
      <c r="E23" s="182"/>
      <c r="F23" s="13">
        <v>-251914.39221055832</v>
      </c>
      <c r="G23" s="13">
        <v>-251914.39221055832</v>
      </c>
      <c r="H23" s="13">
        <v>-251914.39221055832</v>
      </c>
      <c r="I23" s="13">
        <v>-251914.39221055832</v>
      </c>
      <c r="J23" s="13">
        <v>-251914.39221055832</v>
      </c>
      <c r="K23" s="13">
        <v>-251914.39221055832</v>
      </c>
      <c r="L23" s="13">
        <v>-251914.39221055832</v>
      </c>
      <c r="M23" s="13">
        <v>-251914.39221055832</v>
      </c>
      <c r="N23" s="13">
        <v>-251914.39221055832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3">
        <v>121771955.50010498</v>
      </c>
      <c r="E24" s="183"/>
      <c r="F24" s="18">
        <v>18199664.357789442</v>
      </c>
      <c r="G24" s="18">
        <v>17200889.267789442</v>
      </c>
      <c r="H24" s="18">
        <v>15081708.10778944</v>
      </c>
      <c r="I24" s="18">
        <v>10233295.45778944</v>
      </c>
      <c r="J24" s="18">
        <v>6111472.7777894428</v>
      </c>
      <c r="K24" s="18">
        <v>5882704.8877894422</v>
      </c>
      <c r="L24" s="18">
        <v>9699294.3977894429</v>
      </c>
      <c r="M24" s="18">
        <v>14547926.477789443</v>
      </c>
      <c r="N24" s="18">
        <v>12481352.76778944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4">
        <v>26101189.011295021</v>
      </c>
      <c r="E25" s="184" t="s">
        <v>65</v>
      </c>
      <c r="F25" s="18">
        <v>-3928707.4831894413</v>
      </c>
      <c r="G25" s="18">
        <v>-4485145.3707894422</v>
      </c>
      <c r="H25" s="18">
        <v>-10274.074689440429</v>
      </c>
      <c r="I25" s="18">
        <v>2908152.9703105595</v>
      </c>
      <c r="J25" s="18">
        <v>-702344.366489443</v>
      </c>
      <c r="K25" s="18">
        <v>13605221.289010555</v>
      </c>
      <c r="L25" s="18">
        <v>14016946.865210557</v>
      </c>
      <c r="M25" s="18">
        <v>4997820.0071105547</v>
      </c>
      <c r="N25" s="18">
        <v>-2444266.5988894403</v>
      </c>
      <c r="O25" s="18">
        <v>2143785.7737000007</v>
      </c>
      <c r="P25" s="18" t="s">
        <v>65</v>
      </c>
      <c r="Q25" s="18" t="s">
        <v>65</v>
      </c>
    </row>
    <row r="26" spans="1:19" ht="26.25" customHeight="1">
      <c r="A26" s="3">
        <v>20</v>
      </c>
      <c r="B26" s="19" t="s">
        <v>21</v>
      </c>
      <c r="C26" s="19"/>
      <c r="D26" s="177">
        <v>-5597079</v>
      </c>
      <c r="E26" s="177"/>
      <c r="F26" s="20">
        <v>432811</v>
      </c>
      <c r="G26" s="20">
        <v>-525048</v>
      </c>
      <c r="H26" s="20">
        <v>-523916</v>
      </c>
      <c r="I26" s="20">
        <v>-475697</v>
      </c>
      <c r="J26" s="20">
        <v>-550303</v>
      </c>
      <c r="K26" s="20">
        <v>-649665</v>
      </c>
      <c r="L26" s="20">
        <v>281611</v>
      </c>
      <c r="M26" s="20">
        <v>-1216054</v>
      </c>
      <c r="N26" s="20">
        <v>-1357735</v>
      </c>
      <c r="O26" s="20">
        <v>-1013083</v>
      </c>
      <c r="P26" s="20" t="s">
        <v>65</v>
      </c>
      <c r="Q26" s="20" t="s">
        <v>65</v>
      </c>
      <c r="S26" s="21"/>
    </row>
    <row r="27" spans="1:19" ht="19.5" customHeight="1">
      <c r="A27" s="3">
        <v>21</v>
      </c>
      <c r="B27" s="19" t="s">
        <v>22</v>
      </c>
      <c r="C27" s="19"/>
      <c r="D27" s="177">
        <v>20504110.011295021</v>
      </c>
      <c r="E27" s="177"/>
      <c r="F27" s="20">
        <v>-3495896.4831894413</v>
      </c>
      <c r="G27" s="20">
        <v>-5010193.3707894422</v>
      </c>
      <c r="H27" s="20">
        <v>-534190.07468944043</v>
      </c>
      <c r="I27" s="20">
        <v>2432455.9703105595</v>
      </c>
      <c r="J27" s="20">
        <v>-1252647.366489443</v>
      </c>
      <c r="K27" s="20">
        <v>12955556.289010555</v>
      </c>
      <c r="L27" s="20">
        <v>14298557.865210557</v>
      </c>
      <c r="M27" s="20">
        <v>3781766.0071105547</v>
      </c>
      <c r="N27" s="20">
        <v>-3802001.5988894403</v>
      </c>
      <c r="O27" s="20">
        <v>1130702.7737000007</v>
      </c>
      <c r="P27" s="20">
        <v>0</v>
      </c>
      <c r="Q27" s="20">
        <v>0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0.6573</v>
      </c>
      <c r="G28" s="23">
        <v>0.6573</v>
      </c>
      <c r="H28" s="23">
        <v>0.6573</v>
      </c>
      <c r="I28" s="23">
        <v>0.6573</v>
      </c>
      <c r="J28" s="23">
        <v>0.6573</v>
      </c>
      <c r="K28" s="23">
        <v>0.6573</v>
      </c>
      <c r="L28" s="23">
        <v>0.6573</v>
      </c>
      <c r="M28" s="23">
        <v>0.6573</v>
      </c>
      <c r="N28" s="23">
        <v>0.6573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78">
        <v>13476333.877927884</v>
      </c>
      <c r="E29" s="178"/>
      <c r="F29" s="24">
        <v>-2297852.7584004197</v>
      </c>
      <c r="G29" s="24">
        <v>-3293200.1026199004</v>
      </c>
      <c r="H29" s="24">
        <v>-351123.13609336922</v>
      </c>
      <c r="I29" s="24">
        <v>1598853.3092851308</v>
      </c>
      <c r="J29" s="24">
        <v>-823365.11399351084</v>
      </c>
      <c r="K29" s="24">
        <v>8515687.1487666368</v>
      </c>
      <c r="L29" s="24">
        <v>9398442.0848028995</v>
      </c>
      <c r="M29" s="24">
        <v>2485754.7964737676</v>
      </c>
      <c r="N29" s="24">
        <v>-2499055.650950029</v>
      </c>
      <c r="O29" s="24">
        <v>742193.30065668048</v>
      </c>
      <c r="P29" s="24">
        <v>0</v>
      </c>
      <c r="Q29" s="24">
        <v>0</v>
      </c>
    </row>
    <row r="30" spans="1:19" ht="20.25" customHeight="1">
      <c r="A30" s="3">
        <v>24</v>
      </c>
      <c r="B30" s="1" t="s">
        <v>25</v>
      </c>
      <c r="D30" s="178">
        <v>0</v>
      </c>
      <c r="E30" s="178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79" t="s">
        <v>26</v>
      </c>
      <c r="C31" s="179"/>
      <c r="D31" s="180">
        <v>-1299689.7876599999</v>
      </c>
      <c r="E31" s="180"/>
      <c r="F31" s="25">
        <v>936469.8023399997</v>
      </c>
      <c r="G31" s="25">
        <v>68582.569999999992</v>
      </c>
      <c r="H31" s="25">
        <v>-204389.46</v>
      </c>
      <c r="I31" s="25">
        <v>260331.25</v>
      </c>
      <c r="J31" s="25">
        <v>143648.51999999999</v>
      </c>
      <c r="K31" s="25">
        <v>-1252107.29</v>
      </c>
      <c r="L31" s="25">
        <v>-1016514.2999999999</v>
      </c>
      <c r="M31" s="25">
        <v>-736406.92999999993</v>
      </c>
      <c r="N31" s="25">
        <v>250914.05</v>
      </c>
      <c r="O31" s="25">
        <v>249782</v>
      </c>
      <c r="P31" s="25" t="s">
        <v>65</v>
      </c>
      <c r="Q31" s="25" t="s">
        <v>65</v>
      </c>
    </row>
    <row r="32" spans="1:19" ht="27" customHeight="1">
      <c r="A32" s="3">
        <v>26</v>
      </c>
      <c r="B32" s="181" t="s">
        <v>27</v>
      </c>
      <c r="C32" s="181"/>
      <c r="D32" s="175">
        <v>12176644.090267885</v>
      </c>
      <c r="E32" s="175"/>
      <c r="F32" s="26">
        <v>-1361382.95606042</v>
      </c>
      <c r="G32" s="26">
        <v>-3224617.5326199005</v>
      </c>
      <c r="H32" s="26">
        <v>-555512.59609336918</v>
      </c>
      <c r="I32" s="26">
        <v>1859184.5592851308</v>
      </c>
      <c r="J32" s="26">
        <v>-679716.59399351082</v>
      </c>
      <c r="K32" s="26">
        <v>7263579.8587666368</v>
      </c>
      <c r="L32" s="26">
        <v>8381927.7848028997</v>
      </c>
      <c r="M32" s="26">
        <v>1749347.8664737677</v>
      </c>
      <c r="N32" s="26">
        <v>-2248141.6009500292</v>
      </c>
      <c r="O32" s="26">
        <v>991975.30065668048</v>
      </c>
      <c r="P32" s="26" t="s">
        <v>65</v>
      </c>
      <c r="Q32" s="26" t="s">
        <v>65</v>
      </c>
    </row>
    <row r="33" spans="1:19" ht="12.75" hidden="1" customHeight="1">
      <c r="A33" s="3">
        <v>27</v>
      </c>
      <c r="B33" s="174" t="s">
        <v>28</v>
      </c>
      <c r="C33" s="174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-1361382.95606042</v>
      </c>
      <c r="G34" s="30">
        <v>-4586000.4886803208</v>
      </c>
      <c r="H34" s="30">
        <v>-5141513.0847736895</v>
      </c>
      <c r="I34" s="30">
        <v>-3282328.5254885587</v>
      </c>
      <c r="J34" s="30">
        <v>-3962045.1194820693</v>
      </c>
      <c r="K34" s="30">
        <v>3301534.7392845675</v>
      </c>
      <c r="L34" s="30">
        <v>11683462.524087466</v>
      </c>
      <c r="M34" s="30">
        <v>13432810.390561234</v>
      </c>
      <c r="N34" s="30">
        <v>11184668.789611205</v>
      </c>
      <c r="O34" s="30">
        <v>12176644.090267885</v>
      </c>
      <c r="P34" s="30" t="s">
        <v>65</v>
      </c>
      <c r="Q34" s="30" t="s">
        <v>65</v>
      </c>
      <c r="R34" s="21"/>
    </row>
    <row r="35" spans="1:19" ht="30.75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1683462.5240874663</v>
      </c>
      <c r="M35" s="22">
        <v>3432810.3905612342</v>
      </c>
      <c r="N35" s="22">
        <v>1184668.7896112055</v>
      </c>
      <c r="O35" s="22">
        <v>2176644.0902678855</v>
      </c>
      <c r="P35" s="22" t="s">
        <v>65</v>
      </c>
      <c r="Q35" s="22" t="s">
        <v>65</v>
      </c>
      <c r="R35" s="34"/>
      <c r="S35" s="35"/>
    </row>
    <row r="36" spans="1:19" ht="19.5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-586000.48868032079</v>
      </c>
      <c r="H36" s="22">
        <v>-1141513.0847736895</v>
      </c>
      <c r="I36" s="22">
        <v>0</v>
      </c>
      <c r="J36" s="22">
        <v>0</v>
      </c>
      <c r="K36" s="22">
        <v>0</v>
      </c>
      <c r="L36" s="22">
        <v>6000000</v>
      </c>
      <c r="M36" s="22">
        <v>6000000</v>
      </c>
      <c r="N36" s="22">
        <v>6000000</v>
      </c>
      <c r="O36" s="22">
        <v>6000000</v>
      </c>
      <c r="P36" s="22" t="s">
        <v>65</v>
      </c>
      <c r="Q36" s="22" t="s">
        <v>65</v>
      </c>
      <c r="R36" s="34"/>
      <c r="S36" s="35"/>
    </row>
    <row r="37" spans="1:19" ht="21.75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-1361382.95606042</v>
      </c>
      <c r="G37" s="22">
        <v>-4000000</v>
      </c>
      <c r="H37" s="22">
        <v>-4000000</v>
      </c>
      <c r="I37" s="22">
        <v>-3282328.5254885587</v>
      </c>
      <c r="J37" s="22">
        <v>-3962045.1194820693</v>
      </c>
      <c r="K37" s="22">
        <v>3301534.7392845675</v>
      </c>
      <c r="L37" s="22">
        <v>4000000</v>
      </c>
      <c r="M37" s="22">
        <v>4000000</v>
      </c>
      <c r="N37" s="22">
        <v>4000000</v>
      </c>
      <c r="O37" s="22">
        <v>4000000</v>
      </c>
      <c r="P37" s="22" t="s">
        <v>65</v>
      </c>
      <c r="Q37" s="22" t="s">
        <v>65</v>
      </c>
      <c r="R37" s="34"/>
    </row>
    <row r="38" spans="1:19" ht="15.95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 t="s">
        <v>65</v>
      </c>
      <c r="Q38" s="21" t="s">
        <v>65</v>
      </c>
      <c r="R38" s="38"/>
    </row>
    <row r="39" spans="1:19" ht="23.25" customHeight="1">
      <c r="A39" s="1" t="s">
        <v>33</v>
      </c>
      <c r="D39" s="39"/>
      <c r="E39" s="39"/>
      <c r="F39" s="22">
        <v>0</v>
      </c>
      <c r="G39" s="22">
        <v>-439500.36651024059</v>
      </c>
      <c r="H39" s="22">
        <v>-856134.81358026713</v>
      </c>
      <c r="I39" s="22">
        <v>0</v>
      </c>
      <c r="J39" s="22">
        <v>0</v>
      </c>
      <c r="K39" s="22">
        <v>0</v>
      </c>
      <c r="L39" s="22">
        <v>4515116.2716787197</v>
      </c>
      <c r="M39" s="22">
        <v>6089529.351505111</v>
      </c>
      <c r="N39" s="22">
        <v>4066201.9106500847</v>
      </c>
      <c r="O39" s="22">
        <v>4958979.6812410969</v>
      </c>
      <c r="P39" s="22" t="s">
        <v>65</v>
      </c>
      <c r="Q39" s="22" t="s">
        <v>65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-439500.36651024059</v>
      </c>
      <c r="H40" s="22">
        <v>-416634.44707002654</v>
      </c>
      <c r="I40" s="22">
        <v>856134.81358026713</v>
      </c>
      <c r="J40" s="22">
        <v>0</v>
      </c>
      <c r="K40" s="22">
        <v>0</v>
      </c>
      <c r="L40" s="22">
        <v>4515116.2716787197</v>
      </c>
      <c r="M40" s="22">
        <v>1574413.0798263913</v>
      </c>
      <c r="N40" s="22">
        <v>-2023327.4408550262</v>
      </c>
      <c r="O40" s="22">
        <v>892777.7705910122</v>
      </c>
      <c r="P40" s="22" t="s">
        <v>65</v>
      </c>
      <c r="Q40" s="22" t="s">
        <v>65</v>
      </c>
      <c r="R40" s="38"/>
    </row>
    <row r="41" spans="1:19" ht="24.75" customHeight="1">
      <c r="A41" s="174" t="s">
        <v>36</v>
      </c>
      <c r="B41" s="174"/>
      <c r="C41" s="174"/>
      <c r="D41" s="175">
        <v>-4958979.6812410969</v>
      </c>
      <c r="E41" s="175"/>
      <c r="F41" s="40">
        <v>0</v>
      </c>
      <c r="G41" s="40">
        <v>439500.36651024059</v>
      </c>
      <c r="H41" s="40">
        <v>416634.44707002654</v>
      </c>
      <c r="I41" s="40">
        <v>-856134.81358026713</v>
      </c>
      <c r="J41" s="40">
        <v>0</v>
      </c>
      <c r="K41" s="40">
        <v>0</v>
      </c>
      <c r="L41" s="40">
        <v>-4515116.2716787197</v>
      </c>
      <c r="M41" s="40">
        <v>-1574413.0798263913</v>
      </c>
      <c r="N41" s="40">
        <v>2023327.4408550262</v>
      </c>
      <c r="O41" s="40">
        <v>-892777.7705910122</v>
      </c>
      <c r="P41" s="40" t="s">
        <v>65</v>
      </c>
      <c r="Q41" s="40" t="s">
        <v>65</v>
      </c>
      <c r="R41" s="34"/>
    </row>
    <row r="42" spans="1:19" ht="26.25" customHeight="1" thickBot="1">
      <c r="A42" s="176" t="s">
        <v>37</v>
      </c>
      <c r="B42" s="176"/>
      <c r="C42" s="176"/>
      <c r="D42" s="41"/>
      <c r="E42" s="41"/>
      <c r="F42" s="42">
        <v>-1361382.95606042</v>
      </c>
      <c r="G42" s="42">
        <v>-4146500.1221700804</v>
      </c>
      <c r="H42" s="42">
        <v>-4285378.2711934224</v>
      </c>
      <c r="I42" s="42">
        <v>-3282328.5254885587</v>
      </c>
      <c r="J42" s="42">
        <v>-3962045.1194820693</v>
      </c>
      <c r="K42" s="42">
        <v>3301534.7392845675</v>
      </c>
      <c r="L42" s="42">
        <v>7168346.2524087466</v>
      </c>
      <c r="M42" s="42">
        <v>7343281.0390561232</v>
      </c>
      <c r="N42" s="42">
        <v>7118466.8789611207</v>
      </c>
      <c r="O42" s="42">
        <v>7217664.4090267885</v>
      </c>
      <c r="P42" s="42" t="s">
        <v>65</v>
      </c>
      <c r="Q42" s="42" t="s">
        <v>65</v>
      </c>
      <c r="R42" s="1" t="s">
        <v>38</v>
      </c>
    </row>
    <row r="43" spans="1:19" ht="13.5" thickTop="1">
      <c r="A43" s="43"/>
    </row>
    <row r="44" spans="1:19" ht="13.15">
      <c r="E44" s="44"/>
      <c r="F44" s="45" t="s">
        <v>39</v>
      </c>
      <c r="Q44" s="22"/>
      <c r="R44" s="21"/>
    </row>
    <row r="45" spans="1:19" ht="13.15">
      <c r="E45" s="46"/>
      <c r="F45"/>
      <c r="H45" s="47"/>
      <c r="I45" s="47"/>
      <c r="J45" s="47"/>
      <c r="K45" s="47"/>
      <c r="Q45" s="48"/>
      <c r="R45" s="21"/>
    </row>
    <row r="46" spans="1:19" ht="13.15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F041-427E-46AC-893F-DC93F24DC47C}">
  <sheetPr>
    <tabColor theme="8" tint="-0.249977111117893"/>
  </sheetPr>
  <dimension ref="A1:T501"/>
  <sheetViews>
    <sheetView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3.15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41</v>
      </c>
      <c r="D5" s="54" t="s">
        <v>5</v>
      </c>
      <c r="E5" s="7">
        <v>44227</v>
      </c>
      <c r="F5" s="7">
        <f t="shared" ref="F5:P5" si="0">EOMONTH(E5,1)</f>
        <v>44255</v>
      </c>
      <c r="G5" s="7">
        <f t="shared" si="0"/>
        <v>44286</v>
      </c>
      <c r="H5" s="7">
        <f t="shared" si="0"/>
        <v>44316</v>
      </c>
      <c r="I5" s="7">
        <f t="shared" si="0"/>
        <v>44347</v>
      </c>
      <c r="J5" s="7">
        <f t="shared" si="0"/>
        <v>44377</v>
      </c>
      <c r="K5" s="7">
        <f t="shared" si="0"/>
        <v>44408</v>
      </c>
      <c r="L5" s="7">
        <f t="shared" si="0"/>
        <v>44439</v>
      </c>
      <c r="M5" s="7">
        <f t="shared" si="0"/>
        <v>44469</v>
      </c>
      <c r="N5" s="7">
        <f t="shared" si="0"/>
        <v>44500</v>
      </c>
      <c r="O5" s="7">
        <f t="shared" si="0"/>
        <v>44530</v>
      </c>
      <c r="P5" s="7">
        <f t="shared" si="0"/>
        <v>44561</v>
      </c>
      <c r="Q5" s="55"/>
      <c r="R5" s="7" t="s">
        <v>42</v>
      </c>
    </row>
    <row r="6" spans="1:18" ht="13.15">
      <c r="A6" s="51"/>
      <c r="B6" s="56" t="s">
        <v>43</v>
      </c>
      <c r="C6" s="57"/>
    </row>
    <row r="7" spans="1:18">
      <c r="A7" s="51">
        <f>A6+1</f>
        <v>1</v>
      </c>
      <c r="B7" s="1" t="s">
        <v>44</v>
      </c>
      <c r="C7" s="2"/>
      <c r="D7" s="58">
        <f>SUM(E7:P7)</f>
        <v>33637976.571400002</v>
      </c>
      <c r="E7" s="58">
        <f>E24-SUM(E8:E23)</f>
        <v>1760596.9146000016</v>
      </c>
      <c r="F7" s="58">
        <f t="shared" ref="F7:P7" si="1">F24-SUM(F8:F23)</f>
        <v>1547991.0669999998</v>
      </c>
      <c r="G7" s="58">
        <f t="shared" si="1"/>
        <v>3311009.1330999993</v>
      </c>
      <c r="H7" s="58">
        <f t="shared" si="1"/>
        <v>2206989.4280999973</v>
      </c>
      <c r="I7" s="58">
        <f t="shared" si="1"/>
        <v>1289391.0912999995</v>
      </c>
      <c r="J7" s="58">
        <f t="shared" si="1"/>
        <v>7105736.3367999997</v>
      </c>
      <c r="K7" s="58">
        <f t="shared" si="1"/>
        <v>6388324.523000001</v>
      </c>
      <c r="L7" s="58">
        <f t="shared" si="1"/>
        <v>6416029.2148999991</v>
      </c>
      <c r="M7" s="58">
        <f t="shared" si="1"/>
        <v>1418490.0588999996</v>
      </c>
      <c r="N7" s="58">
        <f t="shared" si="1"/>
        <v>2193418.8037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33637976.571400002</v>
      </c>
    </row>
    <row r="8" spans="1:18">
      <c r="A8" s="51">
        <v>2</v>
      </c>
      <c r="B8" s="61" t="s">
        <v>45</v>
      </c>
      <c r="C8" s="62">
        <v>100096</v>
      </c>
      <c r="D8" s="58">
        <f t="shared" ref="D8:D23" si="3">SUM(E8:P8)</f>
        <v>11916666.699999999</v>
      </c>
      <c r="E8" s="63">
        <f>'[1]Input Tab'!C19</f>
        <v>1191666.67</v>
      </c>
      <c r="F8" s="63">
        <f>'[1]Input Tab'!D19</f>
        <v>1191666.67</v>
      </c>
      <c r="G8" s="63">
        <f>'[1]Input Tab'!E19</f>
        <v>1191666.67</v>
      </c>
      <c r="H8" s="63">
        <f>'[1]Input Tab'!F19</f>
        <v>1191666.67</v>
      </c>
      <c r="I8" s="63">
        <f>'[1]Input Tab'!G19</f>
        <v>1191666.67</v>
      </c>
      <c r="J8" s="63">
        <f>'[1]Input Tab'!H19</f>
        <v>1191666.67</v>
      </c>
      <c r="K8" s="63">
        <f>'[1]Input Tab'!I19</f>
        <v>1191666.67</v>
      </c>
      <c r="L8" s="63">
        <f>'[1]Input Tab'!J19</f>
        <v>1191666.67</v>
      </c>
      <c r="M8" s="63">
        <f>'[1]Input Tab'!K19</f>
        <v>1191666.67</v>
      </c>
      <c r="N8" s="63">
        <f>'[1]Input Tab'!L19</f>
        <v>1191666.67</v>
      </c>
      <c r="O8" s="63">
        <f>'[1]Input Tab'!M19</f>
        <v>0</v>
      </c>
      <c r="P8" s="63">
        <f>'[1]Input Tab'!N19</f>
        <v>0</v>
      </c>
      <c r="Q8" s="59"/>
      <c r="R8" s="60">
        <f t="shared" si="2"/>
        <v>11916666.699999999</v>
      </c>
    </row>
    <row r="9" spans="1:18">
      <c r="A9" s="51">
        <v>3</v>
      </c>
      <c r="B9" s="61" t="s">
        <v>46</v>
      </c>
      <c r="C9" s="62">
        <v>107240</v>
      </c>
      <c r="D9" s="58">
        <f t="shared" si="3"/>
        <v>2237511.67</v>
      </c>
      <c r="E9" s="63">
        <f>'[1]Input Tab'!C20</f>
        <v>192121.58</v>
      </c>
      <c r="F9" s="63">
        <f>'[1]Input Tab'!D20</f>
        <v>210942.86</v>
      </c>
      <c r="G9" s="63">
        <f>'[1]Input Tab'!E20</f>
        <v>116947.51</v>
      </c>
      <c r="H9" s="63">
        <f>'[1]Input Tab'!F20</f>
        <v>138457.82</v>
      </c>
      <c r="I9" s="63">
        <f>'[1]Input Tab'!G20</f>
        <v>155367.44</v>
      </c>
      <c r="J9" s="63">
        <f>'[1]Input Tab'!H20</f>
        <v>245358.07</v>
      </c>
      <c r="K9" s="63">
        <f>'[1]Input Tab'!I20</f>
        <v>456636.14</v>
      </c>
      <c r="L9" s="63">
        <f>'[1]Input Tab'!J20</f>
        <v>327791.83</v>
      </c>
      <c r="M9" s="63">
        <f>'[1]Input Tab'!K20</f>
        <v>206412.11</v>
      </c>
      <c r="N9" s="63">
        <f>'[1]Input Tab'!L20</f>
        <v>187476.31</v>
      </c>
      <c r="O9" s="63">
        <f>'[1]Input Tab'!M20</f>
        <v>0</v>
      </c>
      <c r="P9" s="63">
        <f>'[1]Input Tab'!N20</f>
        <v>0</v>
      </c>
      <c r="Q9" s="59"/>
      <c r="R9" s="60">
        <f>SUM(E9:P9)</f>
        <v>2237511.67</v>
      </c>
    </row>
    <row r="10" spans="1:18">
      <c r="A10" s="51">
        <v>4</v>
      </c>
      <c r="B10" s="1" t="s">
        <v>47</v>
      </c>
      <c r="C10" s="2">
        <v>100131</v>
      </c>
      <c r="D10" s="58">
        <f t="shared" si="3"/>
        <v>1816340</v>
      </c>
      <c r="E10" s="63">
        <f>'[1]Input Tab'!C21</f>
        <v>181634</v>
      </c>
      <c r="F10" s="63">
        <f>'[1]Input Tab'!D21</f>
        <v>181634</v>
      </c>
      <c r="G10" s="63">
        <f>'[1]Input Tab'!E21</f>
        <v>181634</v>
      </c>
      <c r="H10" s="63">
        <f>'[1]Input Tab'!F21</f>
        <v>181634</v>
      </c>
      <c r="I10" s="63">
        <f>'[1]Input Tab'!G21</f>
        <v>181634</v>
      </c>
      <c r="J10" s="63">
        <f>'[1]Input Tab'!H21</f>
        <v>181634</v>
      </c>
      <c r="K10" s="63">
        <f>'[1]Input Tab'!I21</f>
        <v>181634</v>
      </c>
      <c r="L10" s="63">
        <f>'[1]Input Tab'!J21</f>
        <v>181634</v>
      </c>
      <c r="M10" s="63">
        <f>'[1]Input Tab'!K21</f>
        <v>181634</v>
      </c>
      <c r="N10" s="63">
        <f>'[1]Input Tab'!L21</f>
        <v>181634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1816340</v>
      </c>
    </row>
    <row r="11" spans="1:18" ht="13.5" customHeight="1">
      <c r="A11" s="51">
        <v>5</v>
      </c>
      <c r="B11" s="1" t="s">
        <v>48</v>
      </c>
      <c r="C11" s="2">
        <v>100085</v>
      </c>
      <c r="D11" s="58">
        <f t="shared" si="3"/>
        <v>9397408.4000000004</v>
      </c>
      <c r="E11" s="64">
        <f>'[1]Input Tab'!C22</f>
        <v>939387.38</v>
      </c>
      <c r="F11" s="64">
        <f>'[1]Input Tab'!D22</f>
        <v>939387.38</v>
      </c>
      <c r="G11" s="64">
        <f>'[1]Input Tab'!E22</f>
        <v>939387.38</v>
      </c>
      <c r="H11" s="64">
        <f>'[1]Input Tab'!F22</f>
        <v>942921.98</v>
      </c>
      <c r="I11" s="64">
        <f>'[1]Input Tab'!G22</f>
        <v>939387.38</v>
      </c>
      <c r="J11" s="64">
        <f>'[1]Input Tab'!H22</f>
        <v>939387.38</v>
      </c>
      <c r="K11" s="64">
        <f>'[1]Input Tab'!I22</f>
        <v>939387.38</v>
      </c>
      <c r="L11" s="64">
        <f>'[1]Input Tab'!J22</f>
        <v>939387.38</v>
      </c>
      <c r="M11" s="64">
        <f>'[1]Input Tab'!K22</f>
        <v>939387.38</v>
      </c>
      <c r="N11" s="64">
        <f>'[1]Input Tab'!L22</f>
        <v>939387.38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9397408.4000000004</v>
      </c>
    </row>
    <row r="12" spans="1:18" ht="14.25">
      <c r="A12" s="51">
        <f>A11+1</f>
        <v>6</v>
      </c>
      <c r="B12" s="1" t="s">
        <v>49</v>
      </c>
      <c r="C12" s="65" t="s">
        <v>50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51</v>
      </c>
      <c r="C13" s="65">
        <v>100137</v>
      </c>
      <c r="D13" s="58">
        <f t="shared" si="3"/>
        <v>9926.5</v>
      </c>
      <c r="E13" s="64">
        <f>'[1]Input Tab'!C24</f>
        <v>1259.3499999999999</v>
      </c>
      <c r="F13" s="64">
        <f>'[1]Input Tab'!D24</f>
        <v>1103.95</v>
      </c>
      <c r="G13" s="64">
        <f>'[1]Input Tab'!E24</f>
        <v>1364.35</v>
      </c>
      <c r="H13" s="64">
        <f>'[1]Input Tab'!F24</f>
        <v>1082.95</v>
      </c>
      <c r="I13" s="64">
        <f>'[1]Input Tab'!G24</f>
        <v>1112.3499999999999</v>
      </c>
      <c r="J13" s="64">
        <f>'[1]Input Tab'!H24</f>
        <v>805.75</v>
      </c>
      <c r="K13" s="64">
        <f>'[1]Input Tab'!I24</f>
        <v>751.15</v>
      </c>
      <c r="L13" s="64">
        <f>'[1]Input Tab'!J24</f>
        <v>868.75</v>
      </c>
      <c r="M13" s="64">
        <f>'[1]Input Tab'!K24</f>
        <v>780.55</v>
      </c>
      <c r="N13" s="64">
        <f>'[1]Input Tab'!L24</f>
        <v>797.35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9926.5</v>
      </c>
    </row>
    <row r="14" spans="1:18">
      <c r="A14" s="51">
        <f t="shared" si="4"/>
        <v>8</v>
      </c>
      <c r="B14" t="s">
        <v>52</v>
      </c>
      <c r="C14" s="2" t="s">
        <v>53</v>
      </c>
      <c r="D14" s="58">
        <f t="shared" si="3"/>
        <v>957407.65</v>
      </c>
      <c r="E14" s="64">
        <f>'[1]Input Tab'!C25</f>
        <v>156566.79999999999</v>
      </c>
      <c r="F14" s="64">
        <f>'[1]Input Tab'!D25</f>
        <v>140786.69</v>
      </c>
      <c r="G14" s="64">
        <f>'[1]Input Tab'!E25</f>
        <v>123151.94</v>
      </c>
      <c r="H14" s="64">
        <f>'[1]Input Tab'!F25</f>
        <v>140445.35999999999</v>
      </c>
      <c r="I14" s="64">
        <f>'[1]Input Tab'!G25</f>
        <v>120235.01</v>
      </c>
      <c r="J14" s="64">
        <f>'[1]Input Tab'!H25</f>
        <v>120818.76</v>
      </c>
      <c r="K14" s="64">
        <f>'[1]Input Tab'!I25</f>
        <v>60571.86</v>
      </c>
      <c r="L14" s="64">
        <f>'[1]Input Tab'!J25</f>
        <v>31100.02</v>
      </c>
      <c r="M14" s="64">
        <f>'[1]Input Tab'!K25</f>
        <v>30364.89</v>
      </c>
      <c r="N14" s="64">
        <f>'[1]Input Tab'!L25</f>
        <v>33366.32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957407.65</v>
      </c>
    </row>
    <row r="15" spans="1:18">
      <c r="A15" s="51">
        <f t="shared" si="4"/>
        <v>9</v>
      </c>
      <c r="B15" s="1" t="s">
        <v>54</v>
      </c>
      <c r="C15" s="2">
        <v>185895</v>
      </c>
      <c r="D15" s="58">
        <f t="shared" si="3"/>
        <v>1256043.1399999999</v>
      </c>
      <c r="E15" s="64">
        <f>'[1]Input Tab'!C35</f>
        <v>136395.84</v>
      </c>
      <c r="F15" s="64">
        <f>'[1]Input Tab'!D35</f>
        <v>105545.8</v>
      </c>
      <c r="G15" s="64">
        <f>'[1]Input Tab'!E35</f>
        <v>101790.36</v>
      </c>
      <c r="H15" s="64">
        <f>'[1]Input Tab'!F35</f>
        <v>47742.64</v>
      </c>
      <c r="I15" s="64">
        <f>'[1]Input Tab'!G35</f>
        <v>115695.75</v>
      </c>
      <c r="J15" s="64">
        <f>'[1]Input Tab'!H35</f>
        <v>129806.86</v>
      </c>
      <c r="K15" s="64">
        <f>'[1]Input Tab'!I35</f>
        <v>169734.83</v>
      </c>
      <c r="L15" s="64">
        <f>'[1]Input Tab'!J35</f>
        <v>167389.14000000001</v>
      </c>
      <c r="M15" s="64">
        <f>'[1]Input Tab'!K35</f>
        <v>121136.65</v>
      </c>
      <c r="N15" s="64">
        <f>'[1]Input Tab'!L35</f>
        <v>160805.26999999999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1256043.1399999999</v>
      </c>
    </row>
    <row r="16" spans="1:18" ht="12.75" customHeight="1">
      <c r="A16" s="51">
        <f t="shared" si="4"/>
        <v>10</v>
      </c>
      <c r="B16" t="s">
        <v>55</v>
      </c>
      <c r="C16" s="2">
        <v>186298</v>
      </c>
      <c r="D16" s="58">
        <f t="shared" si="3"/>
        <v>1463602.7999999998</v>
      </c>
      <c r="E16" s="64">
        <f>'[1]Input Tab'!C36</f>
        <v>352910.24</v>
      </c>
      <c r="F16" s="64">
        <f>'[1]Input Tab'!D36</f>
        <v>210445.56</v>
      </c>
      <c r="G16" s="64">
        <f>'[1]Input Tab'!E36</f>
        <v>214419.75</v>
      </c>
      <c r="H16" s="64">
        <f>'[1]Input Tab'!F36</f>
        <v>263619.75</v>
      </c>
      <c r="I16" s="64">
        <f>'[1]Input Tab'!G36</f>
        <v>244032</v>
      </c>
      <c r="J16" s="64">
        <f>'[1]Input Tab'!H36</f>
        <v>128596.5</v>
      </c>
      <c r="K16" s="64">
        <f>'[1]Input Tab'!I36</f>
        <v>922.4</v>
      </c>
      <c r="L16" s="64">
        <f>'[1]Input Tab'!J36</f>
        <v>0</v>
      </c>
      <c r="M16" s="64">
        <f>'[1]Input Tab'!K36</f>
        <v>830.16</v>
      </c>
      <c r="N16" s="64">
        <f>'[1]Input Tab'!L36</f>
        <v>47826.44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1463602.7999999998</v>
      </c>
    </row>
    <row r="17" spans="1:20">
      <c r="A17" s="51">
        <f>A16+1</f>
        <v>11</v>
      </c>
      <c r="B17" s="1" t="s">
        <v>56</v>
      </c>
      <c r="C17" s="2">
        <v>223063</v>
      </c>
      <c r="D17" s="58">
        <f t="shared" si="3"/>
        <v>4766000.9000000004</v>
      </c>
      <c r="E17" s="64">
        <f>'[1]Input Tab'!C37</f>
        <v>553989.78</v>
      </c>
      <c r="F17" s="64">
        <f>'[1]Input Tab'!D37</f>
        <v>561159.18000000005</v>
      </c>
      <c r="G17" s="64">
        <f>'[1]Input Tab'!E37</f>
        <v>492537.78</v>
      </c>
      <c r="H17" s="64">
        <f>'[1]Input Tab'!F37</f>
        <v>463820.35</v>
      </c>
      <c r="I17" s="64">
        <f>'[1]Input Tab'!G37</f>
        <v>341741.4</v>
      </c>
      <c r="J17" s="64">
        <f>'[1]Input Tab'!H37</f>
        <v>419370.07</v>
      </c>
      <c r="K17" s="64">
        <f>'[1]Input Tab'!I37</f>
        <v>510666.12</v>
      </c>
      <c r="L17" s="64">
        <f>'[1]Input Tab'!J37</f>
        <v>493357.14</v>
      </c>
      <c r="M17" s="64">
        <f>'[1]Input Tab'!K37</f>
        <v>455000.85</v>
      </c>
      <c r="N17" s="64">
        <f>'[1]Input Tab'!L37</f>
        <v>474358.23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4766000.9000000004</v>
      </c>
    </row>
    <row r="18" spans="1:20">
      <c r="A18" s="51">
        <f>A17+1</f>
        <v>12</v>
      </c>
      <c r="B18" s="1" t="s">
        <v>57</v>
      </c>
      <c r="C18" s="2">
        <v>102475</v>
      </c>
      <c r="D18" s="58">
        <f t="shared" si="3"/>
        <v>14783.92</v>
      </c>
      <c r="E18" s="63">
        <f>'[1]Input Tab'!C38</f>
        <v>1545.44</v>
      </c>
      <c r="F18" s="63">
        <f>'[1]Input Tab'!D38</f>
        <v>3341.39</v>
      </c>
      <c r="G18" s="63">
        <f>'[1]Input Tab'!E38</f>
        <v>0</v>
      </c>
      <c r="H18" s="63">
        <f>'[1]Input Tab'!F38</f>
        <v>1490.18</v>
      </c>
      <c r="I18" s="63">
        <f>'[1]Input Tab'!G38</f>
        <v>1534.39</v>
      </c>
      <c r="J18" s="63">
        <f>'[1]Input Tab'!H38</f>
        <v>1287.56</v>
      </c>
      <c r="K18" s="63">
        <f>'[1]Input Tab'!I38</f>
        <v>1342.82</v>
      </c>
      <c r="L18" s="63">
        <f>'[1]Input Tab'!J38</f>
        <v>1486.5</v>
      </c>
      <c r="M18" s="63">
        <f>'[1]Input Tab'!K38</f>
        <v>1486.5</v>
      </c>
      <c r="N18" s="63">
        <f>'[1]Input Tab'!L38</f>
        <v>1269.1400000000001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14783.92</v>
      </c>
    </row>
    <row r="19" spans="1:20">
      <c r="A19" s="51">
        <f>A18+1</f>
        <v>13</v>
      </c>
      <c r="B19" s="1" t="s">
        <v>58</v>
      </c>
      <c r="C19" s="2" t="s">
        <v>59</v>
      </c>
      <c r="D19" s="58">
        <f t="shared" si="3"/>
        <v>23953621.049999997</v>
      </c>
      <c r="E19" s="63">
        <f>'[1]Input Tab'!C39</f>
        <v>2379924.42</v>
      </c>
      <c r="F19" s="63">
        <f>'[1]Input Tab'!D39</f>
        <v>2422368.9500000002</v>
      </c>
      <c r="G19" s="63">
        <f>'[1]Input Tab'!E39</f>
        <v>2400609.7400000002</v>
      </c>
      <c r="H19" s="63">
        <f>'[1]Input Tab'!F39</f>
        <v>2406660.02</v>
      </c>
      <c r="I19" s="63">
        <f>'[1]Input Tab'!G39</f>
        <v>2389642.5</v>
      </c>
      <c r="J19" s="63">
        <f>'[1]Input Tab'!H39</f>
        <v>2177827.71</v>
      </c>
      <c r="K19" s="63">
        <f>'[1]Input Tab'!I39</f>
        <v>2413749.92</v>
      </c>
      <c r="L19" s="63">
        <f>'[1]Input Tab'!J39</f>
        <v>2448343.7999999998</v>
      </c>
      <c r="M19" s="63">
        <f>'[1]Input Tab'!K39</f>
        <v>2457035.9700000002</v>
      </c>
      <c r="N19" s="63">
        <f>'[1]Input Tab'!L39</f>
        <v>2457458.02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23953621.049999997</v>
      </c>
    </row>
    <row r="20" spans="1:20">
      <c r="A20" s="51">
        <f>A19+1</f>
        <v>14</v>
      </c>
      <c r="B20" s="1" t="s">
        <v>60</v>
      </c>
      <c r="C20" s="2">
        <v>181462</v>
      </c>
      <c r="D20" s="58">
        <f t="shared" si="3"/>
        <v>18015781.629999999</v>
      </c>
      <c r="E20" s="63">
        <f>'[1]Input Tab'!C40</f>
        <v>2054962.14</v>
      </c>
      <c r="F20" s="63">
        <f>'[1]Input Tab'!D40</f>
        <v>2174857.2999999998</v>
      </c>
      <c r="G20" s="63">
        <f>'[1]Input Tab'!E40</f>
        <v>2096184.09</v>
      </c>
      <c r="H20" s="63">
        <f>'[1]Input Tab'!F40</f>
        <v>2291429.14</v>
      </c>
      <c r="I20" s="63">
        <f>'[1]Input Tab'!G40</f>
        <v>1906563.12</v>
      </c>
      <c r="J20" s="63">
        <f>'[1]Input Tab'!H40</f>
        <v>1407873.39</v>
      </c>
      <c r="K20" s="63">
        <f>'[1]Input Tab'!I40</f>
        <v>1041029.99</v>
      </c>
      <c r="L20" s="63">
        <f>'[1]Input Tab'!J40</f>
        <v>1445899.84</v>
      </c>
      <c r="M20" s="63">
        <f>'[1]Input Tab'!K40</f>
        <v>1640441.88</v>
      </c>
      <c r="N20" s="63">
        <f>'[1]Input Tab'!L40</f>
        <v>1956540.74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18015781.629999999</v>
      </c>
    </row>
    <row r="21" spans="1:20">
      <c r="A21" s="51">
        <f t="shared" ref="A21:A24" si="5">A20+1</f>
        <v>15</v>
      </c>
      <c r="B21" s="1" t="s">
        <v>61</v>
      </c>
      <c r="C21" s="2"/>
      <c r="D21" s="58">
        <f t="shared" si="3"/>
        <v>10124063.58</v>
      </c>
      <c r="E21" s="63">
        <f>'[1]Input Tab'!C41</f>
        <v>741745.32</v>
      </c>
      <c r="F21" s="63">
        <f>'[1]Input Tab'!D41</f>
        <v>1257608.1000000001</v>
      </c>
      <c r="G21" s="63">
        <f>'[1]Input Tab'!E41</f>
        <v>1069731.33</v>
      </c>
      <c r="H21" s="63">
        <f>'[1]Input Tab'!F41</f>
        <v>1280006.1399999999</v>
      </c>
      <c r="I21" s="63">
        <f>'[1]Input Tab'!G41</f>
        <v>1077367.31</v>
      </c>
      <c r="J21" s="63">
        <f>'[1]Input Tab'!H41</f>
        <v>1028077.12</v>
      </c>
      <c r="K21" s="63">
        <f>'[1]Input Tab'!I41</f>
        <v>649498.46</v>
      </c>
      <c r="L21" s="63">
        <f>'[1]Input Tab'!J41</f>
        <v>923141.2</v>
      </c>
      <c r="M21" s="63">
        <f>'[1]Input Tab'!K41</f>
        <v>929580.5</v>
      </c>
      <c r="N21" s="63">
        <f>'[1]Input Tab'!L41</f>
        <v>1167308.1000000001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62</v>
      </c>
      <c r="C22" s="65"/>
      <c r="D22" s="58">
        <f t="shared" si="3"/>
        <v>1320306</v>
      </c>
      <c r="E22" s="66">
        <f>E36</f>
        <v>216599</v>
      </c>
      <c r="F22" s="66">
        <f>F36</f>
        <v>267709</v>
      </c>
      <c r="G22" s="66">
        <f t="shared" ref="G22:P22" si="6">G36</f>
        <v>204121</v>
      </c>
      <c r="H22" s="66">
        <f t="shared" si="6"/>
        <v>87285</v>
      </c>
      <c r="I22" s="66">
        <f t="shared" si="6"/>
        <v>74164</v>
      </c>
      <c r="J22" s="66">
        <f t="shared" si="6"/>
        <v>111569</v>
      </c>
      <c r="K22" s="66">
        <f t="shared" si="6"/>
        <v>104069</v>
      </c>
      <c r="L22" s="66">
        <f t="shared" si="6"/>
        <v>100173</v>
      </c>
      <c r="M22" s="66">
        <f>M36</f>
        <v>74767</v>
      </c>
      <c r="N22" s="66">
        <f>N36</f>
        <v>79850</v>
      </c>
      <c r="O22" s="66">
        <f t="shared" si="6"/>
        <v>0</v>
      </c>
      <c r="P22" s="66">
        <f t="shared" si="6"/>
        <v>0</v>
      </c>
      <c r="Q22" s="66"/>
      <c r="R22" s="60">
        <f t="shared" si="2"/>
        <v>1320306</v>
      </c>
    </row>
    <row r="23" spans="1:20">
      <c r="A23" s="51">
        <f t="shared" si="5"/>
        <v>17</v>
      </c>
      <c r="B23" s="1" t="s">
        <v>63</v>
      </c>
      <c r="C23" s="2"/>
      <c r="D23" s="58">
        <f t="shared" si="3"/>
        <v>-3905</v>
      </c>
      <c r="E23" s="67">
        <f>E34</f>
        <v>-18915</v>
      </c>
      <c r="F23" s="67">
        <f>F34</f>
        <v>-20294</v>
      </c>
      <c r="G23" s="67">
        <f t="shared" ref="G23:P23" si="7">G34</f>
        <v>-11041</v>
      </c>
      <c r="H23" s="67">
        <f t="shared" si="7"/>
        <v>-41253</v>
      </c>
      <c r="I23" s="67">
        <f t="shared" si="7"/>
        <v>17780</v>
      </c>
      <c r="J23" s="67">
        <f t="shared" si="7"/>
        <v>-61250</v>
      </c>
      <c r="K23" s="67">
        <f t="shared" si="7"/>
        <v>73411</v>
      </c>
      <c r="L23" s="67">
        <f t="shared" si="7"/>
        <v>35682</v>
      </c>
      <c r="M23" s="67">
        <f t="shared" si="7"/>
        <v>29895</v>
      </c>
      <c r="N23" s="67">
        <f>N34</f>
        <v>-7920</v>
      </c>
      <c r="O23" s="67">
        <f t="shared" si="7"/>
        <v>0</v>
      </c>
      <c r="P23" s="67">
        <f t="shared" si="7"/>
        <v>0</v>
      </c>
      <c r="Q23" s="67"/>
      <c r="R23" s="60">
        <f t="shared" si="2"/>
        <v>-3905</v>
      </c>
    </row>
    <row r="24" spans="1:20" s="73" customFormat="1" ht="13.5" thickBot="1">
      <c r="A24" s="51">
        <f t="shared" si="5"/>
        <v>18</v>
      </c>
      <c r="B24" s="68" t="s">
        <v>64</v>
      </c>
      <c r="C24" s="68"/>
      <c r="D24" s="69">
        <f>SUM(E24:P24)</f>
        <v>120883535.51139998</v>
      </c>
      <c r="E24" s="70">
        <f>E39</f>
        <v>10842389.874600001</v>
      </c>
      <c r="F24" s="70">
        <f t="shared" ref="F24:P24" si="8">F39</f>
        <v>11196253.897</v>
      </c>
      <c r="G24" s="70">
        <f>G39</f>
        <v>12433514.0331</v>
      </c>
      <c r="H24" s="70">
        <f t="shared" si="8"/>
        <v>11603998.428099999</v>
      </c>
      <c r="I24" s="70">
        <f t="shared" si="8"/>
        <v>10047314.4113</v>
      </c>
      <c r="J24" s="70">
        <f t="shared" si="8"/>
        <v>15128565.1768</v>
      </c>
      <c r="K24" s="70">
        <f t="shared" si="8"/>
        <v>14183396.263</v>
      </c>
      <c r="L24" s="70">
        <f t="shared" si="8"/>
        <v>14703950.4849</v>
      </c>
      <c r="M24" s="70">
        <f>M39</f>
        <v>9678910.1688999999</v>
      </c>
      <c r="N24" s="70">
        <f>N39</f>
        <v>11065242.773700001</v>
      </c>
      <c r="O24" s="70">
        <f t="shared" si="8"/>
        <v>0</v>
      </c>
      <c r="P24" s="70">
        <f t="shared" si="8"/>
        <v>0</v>
      </c>
      <c r="Q24" s="71"/>
      <c r="R24" s="72">
        <f>SUM(R7:R22)</f>
        <v>110763376.9314</v>
      </c>
    </row>
    <row r="25" spans="1:20" ht="13.15" thickTop="1">
      <c r="A25" s="51"/>
      <c r="E25" s="74" t="s">
        <v>65</v>
      </c>
      <c r="F25" s="59" t="s">
        <v>65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66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43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121249772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14775567</v>
      </c>
      <c r="M28" s="22">
        <v>9890659</v>
      </c>
      <c r="N28" s="22">
        <v>11261553</v>
      </c>
      <c r="O28" s="22">
        <v>0</v>
      </c>
      <c r="P28" s="22">
        <v>0</v>
      </c>
      <c r="Q28" s="59"/>
      <c r="R28" s="60">
        <f t="shared" ref="R28:R38" si="9">SUM(E28:P28)</f>
        <v>121249772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67</v>
      </c>
      <c r="D30" s="59">
        <f t="shared" ref="D30:D38" si="10">SUM(E30:P30)</f>
        <v>-3683248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-418808</v>
      </c>
      <c r="M30" s="22">
        <v>-394000</v>
      </c>
      <c r="N30" s="22">
        <v>-349544</v>
      </c>
      <c r="O30" s="22">
        <v>0</v>
      </c>
      <c r="P30" s="22">
        <v>0</v>
      </c>
      <c r="Q30" s="59"/>
      <c r="R30" s="60">
        <f t="shared" si="9"/>
        <v>-3683248</v>
      </c>
    </row>
    <row r="31" spans="1:20" outlineLevel="1">
      <c r="A31" s="51"/>
      <c r="B31" s="1">
        <v>555312</v>
      </c>
      <c r="C31" s="1" t="s">
        <v>68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68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69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70</v>
      </c>
      <c r="D34" s="59">
        <f t="shared" si="10"/>
        <v>-3905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35682</v>
      </c>
      <c r="M34" s="22">
        <v>29895</v>
      </c>
      <c r="N34" s="22">
        <v>-7920</v>
      </c>
      <c r="O34" s="22">
        <v>0</v>
      </c>
      <c r="P34" s="22">
        <v>0</v>
      </c>
      <c r="Q34" s="59"/>
      <c r="R34" s="60">
        <f>SUM(E34:P34)</f>
        <v>-3905</v>
      </c>
    </row>
    <row r="35" spans="1:18" outlineLevel="1">
      <c r="A35" s="51"/>
      <c r="B35">
        <v>555700</v>
      </c>
      <c r="C35" t="s">
        <v>71</v>
      </c>
      <c r="D35" s="59">
        <f t="shared" si="10"/>
        <v>2074380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219000</v>
      </c>
      <c r="M35" s="22">
        <v>84400</v>
      </c>
      <c r="N35" s="22">
        <v>87175</v>
      </c>
      <c r="O35" s="22">
        <v>0</v>
      </c>
      <c r="P35" s="22">
        <v>0</v>
      </c>
      <c r="Q35" s="59"/>
      <c r="R35" s="60">
        <f t="shared" si="9"/>
        <v>2074380</v>
      </c>
    </row>
    <row r="36" spans="1:18" outlineLevel="1">
      <c r="A36" s="51"/>
      <c r="B36">
        <v>555710</v>
      </c>
      <c r="C36" t="s">
        <v>72</v>
      </c>
      <c r="D36" s="59">
        <f t="shared" si="10"/>
        <v>1320306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100173</v>
      </c>
      <c r="M36" s="22">
        <v>74767</v>
      </c>
      <c r="N36" s="22">
        <v>79850</v>
      </c>
      <c r="O36" s="22">
        <v>0</v>
      </c>
      <c r="P36" s="22">
        <v>0</v>
      </c>
      <c r="Q36" s="59"/>
      <c r="R36" s="60">
        <f t="shared" si="9"/>
        <v>1320306</v>
      </c>
    </row>
    <row r="37" spans="1:18" outlineLevel="1">
      <c r="A37" s="51"/>
      <c r="C37" t="s">
        <v>73</v>
      </c>
      <c r="D37" s="59">
        <f t="shared" si="10"/>
        <v>-73769.488599999982</v>
      </c>
      <c r="E37" s="22">
        <f>-SUM((42258/12)+(1.2*1048)-(E52*0.0063))</f>
        <v>-4642.1254000000008</v>
      </c>
      <c r="F37" s="22">
        <f>-SUM((42258/12)+(1.2*1841)-(F52*0.0063))</f>
        <v>-5427.1030000000001</v>
      </c>
      <c r="G37" s="22">
        <f>-SUM((42258/12)+(1.2*3908)-(G52*0.0063))</f>
        <v>-7624.9668999999985</v>
      </c>
      <c r="H37" s="22">
        <f>-SUM((42258/12)+(1.2*5014)-(H52*0.0063))</f>
        <v>-8475.571899999999</v>
      </c>
      <c r="I37" s="22">
        <f>-SUM((42258/12)+(1.2*5626)-(I52*0.0063))</f>
        <v>-9243.5887000000002</v>
      </c>
      <c r="J37" s="22">
        <f>-SUM((42258/12)+(1.2*6100)-(J52*0.0063))</f>
        <v>-9193.8232000000007</v>
      </c>
      <c r="K37" s="22">
        <f>-SUM((42258/12)+(1.2*6077)-(K52*0.0063))</f>
        <v>-8816.7369999999992</v>
      </c>
      <c r="L37" s="22">
        <f>-SUM((42258/12)+(1.2*4842)-(L52*0.0063))</f>
        <v>-7663.5150999999996</v>
      </c>
      <c r="M37" s="22">
        <f>-SUM((42258/12)+(1.2*3988)-(M52*0.0063))</f>
        <v>-6810.8310999999985</v>
      </c>
      <c r="N37" s="22">
        <f>-SUM((42258/12)+(1.2*2838)-(N52*0.0063))</f>
        <v>-5871.2263000000003</v>
      </c>
      <c r="O37" s="22"/>
      <c r="P37" s="22"/>
      <c r="Q37" s="59"/>
      <c r="R37" s="60"/>
    </row>
    <row r="38" spans="1:18" outlineLevel="1">
      <c r="A38" s="51"/>
      <c r="B38" s="46" t="s">
        <v>74</v>
      </c>
      <c r="C38" s="2" t="s">
        <v>75</v>
      </c>
      <c r="D38" s="77">
        <f t="shared" si="10"/>
        <v>0</v>
      </c>
      <c r="E38" s="78">
        <f>'[1]Input Tab'!C42</f>
        <v>0</v>
      </c>
      <c r="F38" s="78">
        <f>'[1]Input Tab'!D42</f>
        <v>0</v>
      </c>
      <c r="G38" s="78">
        <f>'[1]Input Tab'!E42</f>
        <v>0</v>
      </c>
      <c r="H38" s="78">
        <f>'[1]Input Tab'!F42</f>
        <v>0</v>
      </c>
      <c r="I38" s="78">
        <f>'[1]Input Tab'!G42</f>
        <v>0</v>
      </c>
      <c r="J38" s="78">
        <f>'[1]Input Tab'!H42</f>
        <v>0</v>
      </c>
      <c r="K38" s="78">
        <f>'[1]Input Tab'!I42</f>
        <v>0</v>
      </c>
      <c r="L38" s="78">
        <f>'[1]Input Tab'!J42</f>
        <v>0</v>
      </c>
      <c r="M38" s="78">
        <f>'[1]Input Tab'!K42</f>
        <v>0</v>
      </c>
      <c r="N38" s="78">
        <f>'[1]Input Tab'!L42</f>
        <v>0</v>
      </c>
      <c r="O38" s="78">
        <f>'[1]Input Tab'!M42</f>
        <v>0</v>
      </c>
      <c r="P38" s="78">
        <f>'[1]Input Tab'!N42</f>
        <v>0</v>
      </c>
      <c r="Q38" s="16"/>
      <c r="R38" s="60">
        <f t="shared" si="9"/>
        <v>0</v>
      </c>
    </row>
    <row r="39" spans="1:18" s="73" customFormat="1" ht="13.15" outlineLevel="1">
      <c r="A39" s="4"/>
      <c r="B39" s="79"/>
      <c r="C39" s="79"/>
      <c r="D39" s="80">
        <f>SUM(E39:P39)</f>
        <v>120883535.51139998</v>
      </c>
      <c r="E39" s="80">
        <f t="shared" ref="E39:P39" si="11">SUM(E28:E38)</f>
        <v>10842389.874600001</v>
      </c>
      <c r="F39" s="80">
        <f t="shared" si="11"/>
        <v>11196253.897</v>
      </c>
      <c r="G39" s="80">
        <f t="shared" si="11"/>
        <v>12433514.0331</v>
      </c>
      <c r="H39" s="80">
        <f t="shared" si="11"/>
        <v>11603998.428099999</v>
      </c>
      <c r="I39" s="80">
        <f t="shared" si="11"/>
        <v>10047314.4113</v>
      </c>
      <c r="J39" s="80">
        <f t="shared" si="11"/>
        <v>15128565.1768</v>
      </c>
      <c r="K39" s="80">
        <f t="shared" si="11"/>
        <v>14183396.263</v>
      </c>
      <c r="L39" s="80">
        <f t="shared" si="11"/>
        <v>14703950.4849</v>
      </c>
      <c r="M39" s="80">
        <f t="shared" si="11"/>
        <v>9678910.1688999999</v>
      </c>
      <c r="N39" s="80">
        <f t="shared" si="11"/>
        <v>11065242.773700001</v>
      </c>
      <c r="O39" s="80">
        <f t="shared" si="11"/>
        <v>0</v>
      </c>
      <c r="P39" s="80">
        <f t="shared" si="11"/>
        <v>0</v>
      </c>
      <c r="Q39" s="80"/>
      <c r="R39" s="80">
        <f>SUM(R28:R38)</f>
        <v>120957305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76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f>A24+1</f>
        <v>19</v>
      </c>
      <c r="B42" t="s">
        <v>77</v>
      </c>
      <c r="C42" s="65"/>
      <c r="D42" s="59">
        <f t="shared" ref="D42:D47" si="12">SUM(E42:P42)</f>
        <v>-53861124.32</v>
      </c>
      <c r="E42" s="67">
        <f t="shared" ref="E42:P42" si="13">E47-SUM(E43:E46)</f>
        <v>-4624428.37</v>
      </c>
      <c r="F42" s="67">
        <f t="shared" si="13"/>
        <v>-8898576.8900000006</v>
      </c>
      <c r="G42" s="67">
        <f t="shared" si="13"/>
        <v>-3005420.06</v>
      </c>
      <c r="H42" s="67">
        <f t="shared" si="13"/>
        <v>-3078047.12</v>
      </c>
      <c r="I42" s="67">
        <f t="shared" si="13"/>
        <v>-7154724.4100000001</v>
      </c>
      <c r="J42" s="67">
        <f t="shared" si="13"/>
        <v>2318837.04</v>
      </c>
      <c r="K42" s="67">
        <f t="shared" si="13"/>
        <v>-708083.08000000007</v>
      </c>
      <c r="L42" s="67">
        <f t="shared" si="13"/>
        <v>-5920065.4800000004</v>
      </c>
      <c r="M42" s="67">
        <f t="shared" si="13"/>
        <v>-11640138.59</v>
      </c>
      <c r="N42" s="67">
        <f t="shared" si="13"/>
        <v>-11150477.359999999</v>
      </c>
      <c r="O42" s="67">
        <f t="shared" si="13"/>
        <v>0</v>
      </c>
      <c r="P42" s="67">
        <f t="shared" si="13"/>
        <v>0</v>
      </c>
      <c r="Q42" s="81"/>
      <c r="R42" s="59">
        <f>SUM(E42:P42)</f>
        <v>-53861124.32</v>
      </c>
    </row>
    <row r="43" spans="1:18">
      <c r="A43" s="51">
        <f>A42+1</f>
        <v>20</v>
      </c>
      <c r="B43" t="s">
        <v>78</v>
      </c>
      <c r="C43" s="65" t="s">
        <v>79</v>
      </c>
      <c r="D43" s="59">
        <f t="shared" si="12"/>
        <v>-1860693.15</v>
      </c>
      <c r="E43" s="64">
        <f>'[1]Input Tab'!C45</f>
        <v>-60959.4</v>
      </c>
      <c r="F43" s="64">
        <f>'[1]Input Tab'!D45</f>
        <v>-111783.6</v>
      </c>
      <c r="G43" s="64">
        <f>'[1]Input Tab'!E45</f>
        <v>-73105.649999999994</v>
      </c>
      <c r="H43" s="64">
        <f>'[1]Input Tab'!F45</f>
        <v>-101368.45</v>
      </c>
      <c r="I43" s="64">
        <f>'[1]Input Tab'!G45</f>
        <v>-89142.9</v>
      </c>
      <c r="J43" s="64">
        <f>'[1]Input Tab'!H45</f>
        <v>-148389.9</v>
      </c>
      <c r="K43" s="64">
        <f>'[1]Input Tab'!I45</f>
        <v>-419352.06</v>
      </c>
      <c r="L43" s="64">
        <f>'[1]Input Tab'!J45</f>
        <v>-298929.28999999998</v>
      </c>
      <c r="M43" s="64">
        <f>'[1]Input Tab'!K45</f>
        <v>-318690.71999999997</v>
      </c>
      <c r="N43" s="64">
        <f>'[1]Input Tab'!L45</f>
        <v>-238971.18</v>
      </c>
      <c r="O43" s="64">
        <f>'[1]Input Tab'!M45</f>
        <v>0</v>
      </c>
      <c r="P43" s="64">
        <f>'[1]Input Tab'!N45</f>
        <v>0</v>
      </c>
      <c r="Q43" s="81"/>
      <c r="R43" s="59">
        <f>SUM(E43:P43)</f>
        <v>-1860693.15</v>
      </c>
    </row>
    <row r="44" spans="1:18">
      <c r="A44" s="51">
        <f>A43+1</f>
        <v>21</v>
      </c>
      <c r="B44" s="1" t="s">
        <v>80</v>
      </c>
      <c r="C44" s="2" t="s">
        <v>81</v>
      </c>
      <c r="D44" s="59">
        <f t="shared" si="12"/>
        <v>-111311.98999999999</v>
      </c>
      <c r="E44" s="64">
        <f>'[1]Input Tab'!C46</f>
        <v>-10658.53</v>
      </c>
      <c r="F44" s="64">
        <f>'[1]Input Tab'!D46</f>
        <v>-10197.77</v>
      </c>
      <c r="G44" s="64">
        <f>'[1]Input Tab'!E46</f>
        <v>-11351.07</v>
      </c>
      <c r="H44" s="64">
        <f>'[1]Input Tab'!F46</f>
        <v>-10838.07</v>
      </c>
      <c r="I44" s="64">
        <f>'[1]Input Tab'!G46</f>
        <v>-11692.13</v>
      </c>
      <c r="J44" s="64">
        <f>'[1]Input Tab'!H46</f>
        <v>-10899.36</v>
      </c>
      <c r="K44" s="64">
        <f>'[1]Input Tab'!I46</f>
        <v>-11362.96</v>
      </c>
      <c r="L44" s="64">
        <f>'[1]Input Tab'!J46</f>
        <v>-11527.77</v>
      </c>
      <c r="M44" s="64">
        <f>'[1]Input Tab'!K46</f>
        <v>-10924.53</v>
      </c>
      <c r="N44" s="64">
        <f>'[1]Input Tab'!L46</f>
        <v>-11859.8</v>
      </c>
      <c r="O44" s="64">
        <f>'[1]Input Tab'!M46</f>
        <v>0</v>
      </c>
      <c r="P44" s="64">
        <f>'[1]Input Tab'!N46</f>
        <v>0</v>
      </c>
      <c r="Q44" s="81"/>
      <c r="R44" s="59">
        <f>SUM(E44:P44)</f>
        <v>-111311.98999999999</v>
      </c>
    </row>
    <row r="45" spans="1:18">
      <c r="A45" s="51">
        <f>A44+1</f>
        <v>22</v>
      </c>
      <c r="B45" t="s">
        <v>82</v>
      </c>
      <c r="C45" s="82" t="s">
        <v>83</v>
      </c>
      <c r="D45" s="59">
        <f t="shared" si="12"/>
        <v>-256756.54</v>
      </c>
      <c r="E45" s="64">
        <f>'[1]Input Tab'!C47</f>
        <v>-31586.7</v>
      </c>
      <c r="F45" s="64">
        <f>'[1]Input Tab'!D47</f>
        <v>-29893.74</v>
      </c>
      <c r="G45" s="64">
        <f>'[1]Input Tab'!E47</f>
        <v>-25068.22</v>
      </c>
      <c r="H45" s="64">
        <f>'[1]Input Tab'!F47</f>
        <v>-24353.360000000001</v>
      </c>
      <c r="I45" s="64">
        <f>'[1]Input Tab'!G47</f>
        <v>-27883.56</v>
      </c>
      <c r="J45" s="64">
        <f>'[1]Input Tab'!H47</f>
        <v>-24943.78</v>
      </c>
      <c r="K45" s="64">
        <f>'[1]Input Tab'!I47</f>
        <v>-23393.9</v>
      </c>
      <c r="L45" s="64">
        <f>'[1]Input Tab'!J47</f>
        <v>-19353.46</v>
      </c>
      <c r="M45" s="64">
        <f>'[1]Input Tab'!K47</f>
        <v>-21213.16</v>
      </c>
      <c r="N45" s="64">
        <f>'[1]Input Tab'!L47</f>
        <v>-29066.66</v>
      </c>
      <c r="O45" s="64">
        <f>'[1]Input Tab'!M47</f>
        <v>0</v>
      </c>
      <c r="P45" s="64">
        <f>'[1]Input Tab'!N47</f>
        <v>0</v>
      </c>
      <c r="Q45" s="81"/>
      <c r="R45" s="59">
        <f>SUM(E45:P45)</f>
        <v>-256756.54</v>
      </c>
    </row>
    <row r="46" spans="1:18">
      <c r="A46" s="51">
        <f>A45+1</f>
        <v>23</v>
      </c>
      <c r="B46" t="s">
        <v>84</v>
      </c>
      <c r="C46" s="65"/>
      <c r="D46" s="59">
        <f t="shared" si="12"/>
        <v>-13948801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-2000095</v>
      </c>
      <c r="J46" s="83">
        <f>J57</f>
        <v>-1352090</v>
      </c>
      <c r="K46" s="83">
        <f>K57</f>
        <v>-1088554</v>
      </c>
      <c r="L46" s="83">
        <f t="shared" si="14"/>
        <v>-1083312</v>
      </c>
      <c r="M46" s="83">
        <f t="shared" si="14"/>
        <v>-1181434</v>
      </c>
      <c r="N46" s="83">
        <f t="shared" si="14"/>
        <v>-1567080</v>
      </c>
      <c r="O46" s="83">
        <f t="shared" si="14"/>
        <v>0</v>
      </c>
      <c r="P46" s="83">
        <f t="shared" si="14"/>
        <v>0</v>
      </c>
      <c r="Q46" s="81"/>
      <c r="R46" s="59">
        <f>SUM(E46:P46)</f>
        <v>-13948801</v>
      </c>
    </row>
    <row r="47" spans="1:18" s="73" customFormat="1" ht="24.75" customHeight="1" thickBot="1">
      <c r="A47" s="84">
        <f>A46+1</f>
        <v>24</v>
      </c>
      <c r="B47" s="68" t="s">
        <v>85</v>
      </c>
      <c r="C47" s="68"/>
      <c r="D47" s="69">
        <f t="shared" si="12"/>
        <v>-70038687</v>
      </c>
      <c r="E47" s="70">
        <f>E58</f>
        <v>-6141300</v>
      </c>
      <c r="F47" s="70">
        <f>F58</f>
        <v>-10652299</v>
      </c>
      <c r="G47" s="70">
        <f t="shared" si="14"/>
        <v>-4461531</v>
      </c>
      <c r="H47" s="70">
        <f>H58</f>
        <v>-4528743</v>
      </c>
      <c r="I47" s="70">
        <f>I58</f>
        <v>-9283538</v>
      </c>
      <c r="J47" s="70">
        <f t="shared" si="14"/>
        <v>782514</v>
      </c>
      <c r="K47" s="70">
        <f t="shared" si="14"/>
        <v>-2250746</v>
      </c>
      <c r="L47" s="70">
        <f t="shared" si="14"/>
        <v>-7333188</v>
      </c>
      <c r="M47" s="70">
        <f>M58</f>
        <v>-13172401</v>
      </c>
      <c r="N47" s="70">
        <f t="shared" si="14"/>
        <v>-12997455</v>
      </c>
      <c r="O47" s="70">
        <f t="shared" si="14"/>
        <v>0</v>
      </c>
      <c r="P47" s="70">
        <f t="shared" si="14"/>
        <v>0</v>
      </c>
      <c r="Q47" s="85"/>
      <c r="R47" s="72">
        <f>SUM(R42:R46)</f>
        <v>-70038687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76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f t="shared" ref="D51:D58" si="15">SUM(E51:P51)</f>
        <v>-57138800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-4707866</v>
      </c>
      <c r="M51" s="22">
        <v>-10115149</v>
      </c>
      <c r="N51" s="22">
        <v>-9488245</v>
      </c>
      <c r="O51" s="22">
        <v>0</v>
      </c>
      <c r="P51" s="22">
        <v>0</v>
      </c>
      <c r="Q51" s="88"/>
      <c r="R51" s="60">
        <f t="shared" ref="R51:R57" si="16">SUM(E51:P51)</f>
        <v>-57138800</v>
      </c>
    </row>
    <row r="52" spans="1:18" ht="13.15" outlineLevel="2">
      <c r="A52" s="51"/>
      <c r="B52" t="s">
        <v>86</v>
      </c>
      <c r="C52" s="73" t="s">
        <v>87</v>
      </c>
      <c r="D52" s="59">
        <f t="shared" si="15"/>
        <v>1743478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>
        <v>264823</v>
      </c>
      <c r="M52" s="22">
        <v>237503</v>
      </c>
      <c r="N52" s="22">
        <v>167599</v>
      </c>
      <c r="O52" s="22"/>
      <c r="P52" s="22"/>
      <c r="Q52" s="88"/>
      <c r="R52" s="60"/>
    </row>
    <row r="53" spans="1:18" outlineLevel="2">
      <c r="A53" s="51"/>
      <c r="B53">
        <v>447100</v>
      </c>
      <c r="D53" s="59">
        <f t="shared" si="15"/>
        <v>24903076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1467648</v>
      </c>
      <c r="M53" s="22">
        <v>897000</v>
      </c>
      <c r="N53" s="22">
        <v>1027520</v>
      </c>
      <c r="O53" s="22">
        <v>0</v>
      </c>
      <c r="P53" s="22">
        <v>0</v>
      </c>
      <c r="Q53" s="88"/>
      <c r="R53" s="60">
        <f t="shared" si="16"/>
        <v>24903076</v>
      </c>
    </row>
    <row r="54" spans="1:18" outlineLevel="2">
      <c r="A54" s="51"/>
      <c r="B54">
        <v>447150</v>
      </c>
      <c r="D54" s="59">
        <f t="shared" si="15"/>
        <v>-21892813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-2844608</v>
      </c>
      <c r="M54" s="22">
        <v>-2765604</v>
      </c>
      <c r="N54" s="22">
        <v>-2897999</v>
      </c>
      <c r="O54" s="22">
        <v>0</v>
      </c>
      <c r="P54" s="22">
        <v>0</v>
      </c>
      <c r="Q54" s="88"/>
      <c r="R54" s="60">
        <f t="shared" si="16"/>
        <v>-21892813</v>
      </c>
    </row>
    <row r="55" spans="1:18" outlineLevel="2">
      <c r="A55" s="51"/>
      <c r="B55">
        <v>447700</v>
      </c>
      <c r="D55" s="59">
        <f t="shared" si="15"/>
        <v>-2384521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-329700</v>
      </c>
      <c r="M55" s="22">
        <v>-169950</v>
      </c>
      <c r="N55" s="22">
        <v>-159400</v>
      </c>
      <c r="O55" s="22">
        <v>0</v>
      </c>
      <c r="P55" s="22">
        <v>0</v>
      </c>
      <c r="Q55" s="88"/>
      <c r="R55" s="60">
        <f t="shared" si="16"/>
        <v>-2384521</v>
      </c>
    </row>
    <row r="56" spans="1:18" outlineLevel="2">
      <c r="A56" s="51"/>
      <c r="B56">
        <v>447710</v>
      </c>
      <c r="D56" s="59">
        <f t="shared" si="15"/>
        <v>-1320306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-100173</v>
      </c>
      <c r="M56" s="22">
        <v>-74767</v>
      </c>
      <c r="N56" s="22">
        <v>-79850</v>
      </c>
      <c r="O56" s="22">
        <v>0</v>
      </c>
      <c r="P56" s="22">
        <v>0</v>
      </c>
      <c r="Q56" s="88"/>
      <c r="R56" s="60">
        <f t="shared" si="16"/>
        <v>-1320306</v>
      </c>
    </row>
    <row r="57" spans="1:18" outlineLevel="2">
      <c r="A57" s="51"/>
      <c r="B57">
        <v>447720</v>
      </c>
      <c r="C57" s="1" t="s">
        <v>88</v>
      </c>
      <c r="D57" s="77">
        <f t="shared" si="15"/>
        <v>-13948801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-1083312</v>
      </c>
      <c r="M57" s="89">
        <v>-1181434</v>
      </c>
      <c r="N57" s="89">
        <v>-1567080</v>
      </c>
      <c r="O57" s="89">
        <v>0</v>
      </c>
      <c r="P57" s="89">
        <v>0</v>
      </c>
      <c r="Q57" s="88"/>
      <c r="R57" s="90">
        <f t="shared" si="16"/>
        <v>-13948801</v>
      </c>
    </row>
    <row r="58" spans="1:18" s="73" customFormat="1" ht="13.15" outlineLevel="2">
      <c r="A58" s="4"/>
      <c r="D58" s="80">
        <f t="shared" si="15"/>
        <v>-70038687</v>
      </c>
      <c r="E58" s="91">
        <f t="shared" ref="E58:P58" si="17">SUM(E51:E57)</f>
        <v>-6141300</v>
      </c>
      <c r="F58" s="91">
        <f t="shared" si="17"/>
        <v>-10652299</v>
      </c>
      <c r="G58" s="91">
        <f t="shared" si="17"/>
        <v>-4461531</v>
      </c>
      <c r="H58" s="91">
        <f t="shared" si="17"/>
        <v>-4528743</v>
      </c>
      <c r="I58" s="91">
        <f t="shared" si="17"/>
        <v>-9283538</v>
      </c>
      <c r="J58" s="91">
        <f t="shared" si="17"/>
        <v>782514</v>
      </c>
      <c r="K58" s="91">
        <f t="shared" si="17"/>
        <v>-2250746</v>
      </c>
      <c r="L58" s="91">
        <f t="shared" si="17"/>
        <v>-7333188</v>
      </c>
      <c r="M58" s="91">
        <f>SUM(M51:M57)</f>
        <v>-13172401</v>
      </c>
      <c r="N58" s="91">
        <f t="shared" si="17"/>
        <v>-12997455</v>
      </c>
      <c r="O58" s="91">
        <f t="shared" si="17"/>
        <v>0</v>
      </c>
      <c r="P58" s="91">
        <f t="shared" si="17"/>
        <v>0</v>
      </c>
      <c r="Q58" s="92"/>
      <c r="R58" s="80">
        <f>SUM(R51:R57)</f>
        <v>-71782165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89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f>A47+1</f>
        <v>25</v>
      </c>
      <c r="B61" s="1" t="s">
        <v>90</v>
      </c>
      <c r="C61" s="1"/>
      <c r="D61" s="59">
        <f>SUM(E61:P61)</f>
        <v>5886435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799548</v>
      </c>
      <c r="M61" s="22">
        <v>709445</v>
      </c>
      <c r="N61" s="22">
        <v>750950</v>
      </c>
      <c r="O61" s="22">
        <v>0</v>
      </c>
      <c r="P61" s="22">
        <v>0</v>
      </c>
      <c r="Q61" s="93"/>
      <c r="R61" s="21">
        <f>SUM(E61:P61)</f>
        <v>5886435</v>
      </c>
    </row>
    <row r="62" spans="1:18">
      <c r="A62" s="51">
        <f>+A61+1</f>
        <v>26</v>
      </c>
      <c r="B62" s="1" t="s">
        <v>91</v>
      </c>
      <c r="C62" s="1"/>
      <c r="D62" s="59">
        <f>SUM(E62:P62)</f>
        <v>12373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104</v>
      </c>
      <c r="M62" s="22">
        <v>396</v>
      </c>
      <c r="N62" s="22">
        <v>-2900</v>
      </c>
      <c r="O62" s="22">
        <v>0</v>
      </c>
      <c r="P62" s="22">
        <v>0</v>
      </c>
      <c r="Q62" s="93"/>
      <c r="R62" s="21">
        <f>SUM(E62:P62)</f>
        <v>12373</v>
      </c>
    </row>
    <row r="63" spans="1:18">
      <c r="A63" s="51">
        <f>+A62+1</f>
        <v>27</v>
      </c>
      <c r="B63" t="s">
        <v>92</v>
      </c>
      <c r="D63" s="59">
        <f>SUM(E63:P63)</f>
        <v>21014392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2066924</v>
      </c>
      <c r="M63" s="22">
        <v>3025844</v>
      </c>
      <c r="N63" s="22">
        <v>2770730</v>
      </c>
      <c r="O63" s="22">
        <v>0</v>
      </c>
      <c r="P63" s="22">
        <v>0</v>
      </c>
      <c r="Q63" s="93"/>
      <c r="R63" s="94">
        <f>SUM(E63:P63)</f>
        <v>21014392</v>
      </c>
    </row>
    <row r="64" spans="1:18">
      <c r="A64" s="51">
        <f>+A63+1</f>
        <v>28</v>
      </c>
      <c r="B64" t="s">
        <v>93</v>
      </c>
      <c r="D64" s="59">
        <f>SUM(E64:P64)</f>
        <v>181265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21262</v>
      </c>
      <c r="M64" s="22">
        <v>43160</v>
      </c>
      <c r="N64" s="22">
        <v>12015</v>
      </c>
      <c r="O64" s="22">
        <v>0</v>
      </c>
      <c r="P64" s="22">
        <v>0</v>
      </c>
      <c r="Q64" s="93"/>
      <c r="R64" s="94">
        <f>SUM(E64:P64)</f>
        <v>181265</v>
      </c>
    </row>
    <row r="65" spans="1:18" s="73" customFormat="1" ht="27.75" customHeight="1" thickBot="1">
      <c r="A65" s="84">
        <f>+A64+1</f>
        <v>29</v>
      </c>
      <c r="B65" s="68" t="s">
        <v>94</v>
      </c>
      <c r="C65" s="68"/>
      <c r="D65" s="69">
        <f>SUM(E65:P65)</f>
        <v>27094465</v>
      </c>
      <c r="E65" s="40">
        <f>SUM(E61:E64)</f>
        <v>3076898</v>
      </c>
      <c r="F65" s="40">
        <f t="shared" ref="F65:P65" si="18">SUM(F61:F64)</f>
        <v>2528161</v>
      </c>
      <c r="G65" s="40">
        <f t="shared" si="18"/>
        <v>3256809</v>
      </c>
      <c r="H65" s="40">
        <f t="shared" si="18"/>
        <v>1685015</v>
      </c>
      <c r="I65" s="40">
        <f t="shared" si="18"/>
        <v>1349895</v>
      </c>
      <c r="J65" s="40">
        <f t="shared" si="18"/>
        <v>1969382</v>
      </c>
      <c r="K65" s="40">
        <f t="shared" si="18"/>
        <v>3030827</v>
      </c>
      <c r="L65" s="40">
        <f t="shared" si="18"/>
        <v>2887838</v>
      </c>
      <c r="M65" s="40">
        <f t="shared" si="18"/>
        <v>3778845</v>
      </c>
      <c r="N65" s="40">
        <f t="shared" si="18"/>
        <v>3530795</v>
      </c>
      <c r="O65" s="40">
        <f t="shared" si="18"/>
        <v>0</v>
      </c>
      <c r="P65" s="40">
        <f t="shared" si="18"/>
        <v>0</v>
      </c>
      <c r="Q65" s="95"/>
      <c r="R65" s="72">
        <f>SUM(E65:P65)</f>
        <v>27094465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95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f>A65+1</f>
        <v>30</v>
      </c>
      <c r="B68" t="s">
        <v>96</v>
      </c>
      <c r="C68" s="1" t="s">
        <v>97</v>
      </c>
      <c r="D68" s="96">
        <f>SUM(E68:P68)</f>
        <v>408583</v>
      </c>
      <c r="E68" s="97">
        <f>'[1]Input Tab'!C50</f>
        <v>42518</v>
      </c>
      <c r="F68" s="97">
        <f>'[1]Input Tab'!D50</f>
        <v>37569</v>
      </c>
      <c r="G68" s="97">
        <f>'[1]Input Tab'!E50</f>
        <v>47100</v>
      </c>
      <c r="H68" s="97">
        <f>'[1]Input Tab'!F50</f>
        <v>37947</v>
      </c>
      <c r="I68" s="97">
        <f>'[1]Input Tab'!G50</f>
        <v>4045</v>
      </c>
      <c r="J68" s="97">
        <f>'[1]Input Tab'!H50</f>
        <v>43491</v>
      </c>
      <c r="K68" s="97">
        <f>'[1]Input Tab'!I50</f>
        <v>46910</v>
      </c>
      <c r="L68" s="97">
        <f>'[1]Input Tab'!J50</f>
        <v>52195</v>
      </c>
      <c r="M68" s="97">
        <f>'[1]Input Tab'!K50</f>
        <v>46530</v>
      </c>
      <c r="N68" s="97">
        <f>'[1]Input Tab'!L50</f>
        <v>50278</v>
      </c>
      <c r="O68" s="97">
        <f>'[1]Input Tab'!M50</f>
        <v>0</v>
      </c>
      <c r="P68" s="97">
        <f>'[1]Input Tab'!N50</f>
        <v>0</v>
      </c>
      <c r="Q68" s="86"/>
      <c r="R68" s="98">
        <f>SUM(E68:P68)</f>
        <v>408583</v>
      </c>
    </row>
    <row r="69" spans="1:18">
      <c r="A69" s="51">
        <f>A68+1</f>
        <v>31</v>
      </c>
      <c r="B69" t="s">
        <v>98</v>
      </c>
      <c r="C69" s="1" t="s">
        <v>99</v>
      </c>
      <c r="D69" s="96">
        <f>SUM(E69:P69)</f>
        <v>756599</v>
      </c>
      <c r="E69" s="97">
        <f>'[1]Input Tab'!C51</f>
        <v>89341</v>
      </c>
      <c r="F69" s="97">
        <f>'[1]Input Tab'!D51</f>
        <v>75697</v>
      </c>
      <c r="G69" s="97">
        <f>'[1]Input Tab'!E51</f>
        <v>96986</v>
      </c>
      <c r="H69" s="97">
        <f>'[1]Input Tab'!F51</f>
        <v>43333</v>
      </c>
      <c r="I69" s="97">
        <f>'[1]Input Tab'!G51</f>
        <v>45939</v>
      </c>
      <c r="J69" s="97">
        <f>'[1]Input Tab'!H51</f>
        <v>49599</v>
      </c>
      <c r="K69" s="97">
        <f>'[1]Input Tab'!I51</f>
        <v>88278</v>
      </c>
      <c r="L69" s="97">
        <f>'[1]Input Tab'!J51</f>
        <v>80421</v>
      </c>
      <c r="M69" s="97">
        <f>'[1]Input Tab'!K51</f>
        <v>90783</v>
      </c>
      <c r="N69" s="97">
        <f>'[1]Input Tab'!L51</f>
        <v>96222</v>
      </c>
      <c r="O69" s="97">
        <f>'[1]Input Tab'!M51</f>
        <v>0</v>
      </c>
      <c r="P69" s="97">
        <f>'[1]Input Tab'!N51</f>
        <v>0</v>
      </c>
      <c r="Q69" s="86"/>
      <c r="R69" s="98">
        <f>SUM(E69:P69)</f>
        <v>756599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100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f>A69+1</f>
        <v>32</v>
      </c>
      <c r="B72" t="s">
        <v>96</v>
      </c>
      <c r="D72" s="51" t="s">
        <v>101</v>
      </c>
      <c r="E72" s="99">
        <f>IF(E68=0," ",E61/E68)</f>
        <v>13.454278188061528</v>
      </c>
      <c r="F72" s="99">
        <f>IF(F68=0," ",F61/F68)</f>
        <v>13.302882695839655</v>
      </c>
      <c r="G72" s="99">
        <f>IF(G68=0," ",G61/G68)</f>
        <v>13.639766454352442</v>
      </c>
      <c r="H72" s="99">
        <f t="shared" ref="H72:P72" si="19">IF(H68=0," ",H61/H68)</f>
        <v>14.008248346377842</v>
      </c>
      <c r="I72" s="99">
        <f>IF(I68=0," ",I61/I68)</f>
        <v>16.25142150803461</v>
      </c>
      <c r="J72" s="99">
        <f t="shared" si="19"/>
        <v>14.25138534409418</v>
      </c>
      <c r="K72" s="99">
        <f>IF(K68=0," ",K61/K68)</f>
        <v>14.818141121296099</v>
      </c>
      <c r="L72" s="99">
        <f t="shared" si="19"/>
        <v>15.31847878149248</v>
      </c>
      <c r="M72" s="99">
        <f t="shared" si="19"/>
        <v>15.247044917257684</v>
      </c>
      <c r="N72" s="99">
        <f t="shared" si="19"/>
        <v>14.935956084172004</v>
      </c>
      <c r="O72" s="99" t="str">
        <f t="shared" si="19"/>
        <v xml:space="preserve"> </v>
      </c>
      <c r="P72" s="99" t="str">
        <f t="shared" si="19"/>
        <v xml:space="preserve"> </v>
      </c>
      <c r="Q72" s="100"/>
      <c r="R72" s="101">
        <f>R61/R68</f>
        <v>14.406950362594626</v>
      </c>
    </row>
    <row r="73" spans="1:18">
      <c r="A73" s="51">
        <f>A72+1</f>
        <v>33</v>
      </c>
      <c r="B73" t="s">
        <v>102</v>
      </c>
      <c r="D73" s="51" t="s">
        <v>103</v>
      </c>
      <c r="E73" s="99">
        <f>IF(E69=0," ",E63/E69)</f>
        <v>27.772915011025173</v>
      </c>
      <c r="F73" s="99">
        <f>IF(F69=0," ",F63/F69)</f>
        <v>26.628836017279415</v>
      </c>
      <c r="G73" s="99">
        <f t="shared" ref="G73:P73" si="20">IF(G69=0," ",G63/G69)</f>
        <v>26.82965582661415</v>
      </c>
      <c r="H73" s="99">
        <f t="shared" si="20"/>
        <v>26.583227563288947</v>
      </c>
      <c r="I73" s="99">
        <f>IF(I69=0," ",I63/I69)</f>
        <v>27.317790983695769</v>
      </c>
      <c r="J73" s="99">
        <f t="shared" si="20"/>
        <v>27.147422327063044</v>
      </c>
      <c r="K73" s="99">
        <f t="shared" si="20"/>
        <v>26.036407712000724</v>
      </c>
      <c r="L73" s="99">
        <f t="shared" si="20"/>
        <v>25.701296924932542</v>
      </c>
      <c r="M73" s="99">
        <f t="shared" si="20"/>
        <v>33.330513422116475</v>
      </c>
      <c r="N73" s="99">
        <f t="shared" si="20"/>
        <v>28.79518197501611</v>
      </c>
      <c r="O73" s="99" t="str">
        <f t="shared" si="20"/>
        <v xml:space="preserve"> </v>
      </c>
      <c r="P73" s="99" t="str">
        <f t="shared" si="20"/>
        <v xml:space="preserve"> </v>
      </c>
      <c r="Q73" s="100"/>
      <c r="R73" s="101">
        <f>R63/R69</f>
        <v>27.774808055522147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104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f>A73+1</f>
        <v>34</v>
      </c>
      <c r="B76" t="s">
        <v>105</v>
      </c>
      <c r="D76" s="59">
        <f t="shared" ref="D76:D82" si="21">SUM(E76:P76)</f>
        <v>82359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5</v>
      </c>
      <c r="M76" s="22">
        <v>655</v>
      </c>
      <c r="N76" s="22">
        <v>45919</v>
      </c>
      <c r="O76" s="22">
        <v>0</v>
      </c>
      <c r="P76" s="22">
        <v>0</v>
      </c>
      <c r="Q76" s="102"/>
      <c r="R76" s="103">
        <f t="shared" ref="R76:R81" si="22">SUM(E76:P76)</f>
        <v>82359</v>
      </c>
    </row>
    <row r="77" spans="1:18">
      <c r="A77" s="51">
        <f t="shared" ref="A77:A82" si="23">A76+1</f>
        <v>35</v>
      </c>
      <c r="B77" t="s">
        <v>106</v>
      </c>
      <c r="D77" s="59">
        <f t="shared" si="21"/>
        <v>1980882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307223</v>
      </c>
      <c r="M77" s="22">
        <v>304119</v>
      </c>
      <c r="N77" s="22">
        <v>403646</v>
      </c>
      <c r="O77" s="22">
        <v>0</v>
      </c>
      <c r="P77" s="22">
        <v>0</v>
      </c>
      <c r="Q77" s="102"/>
      <c r="R77" s="103">
        <f t="shared" si="22"/>
        <v>1980882</v>
      </c>
    </row>
    <row r="78" spans="1:18">
      <c r="A78" s="51">
        <f t="shared" si="23"/>
        <v>36</v>
      </c>
      <c r="B78" t="s">
        <v>107</v>
      </c>
      <c r="D78" s="59">
        <f t="shared" si="21"/>
        <v>136177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8996</v>
      </c>
      <c r="M78" s="22">
        <v>41513</v>
      </c>
      <c r="N78" s="22">
        <v>18469</v>
      </c>
      <c r="O78" s="22">
        <v>0</v>
      </c>
      <c r="P78" s="22">
        <v>0</v>
      </c>
      <c r="Q78" s="102"/>
      <c r="R78" s="103">
        <f t="shared" si="22"/>
        <v>136177</v>
      </c>
    </row>
    <row r="79" spans="1:18">
      <c r="A79" s="51">
        <f t="shared" si="23"/>
        <v>37</v>
      </c>
      <c r="B79" t="s">
        <v>108</v>
      </c>
      <c r="D79" s="59">
        <f t="shared" si="21"/>
        <v>29582226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4619270</v>
      </c>
      <c r="M79" s="22">
        <v>4909747</v>
      </c>
      <c r="N79" s="22">
        <v>6395380</v>
      </c>
      <c r="O79" s="22">
        <v>0</v>
      </c>
      <c r="P79" s="22">
        <v>0</v>
      </c>
      <c r="Q79" s="102"/>
      <c r="R79" s="103">
        <f t="shared" si="22"/>
        <v>29582226</v>
      </c>
    </row>
    <row r="80" spans="1:18">
      <c r="A80" s="51">
        <f>A79+1</f>
        <v>38</v>
      </c>
      <c r="B80" s="1" t="s">
        <v>109</v>
      </c>
      <c r="C80" s="1"/>
      <c r="D80" s="59">
        <f t="shared" si="21"/>
        <v>34898225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3583575</v>
      </c>
      <c r="M80" s="22">
        <v>4298927</v>
      </c>
      <c r="N80" s="22">
        <v>5890127</v>
      </c>
      <c r="O80" s="22">
        <v>0</v>
      </c>
      <c r="P80" s="22">
        <v>0</v>
      </c>
      <c r="Q80" s="102"/>
      <c r="R80" s="103">
        <f>SUM(E80:P80)</f>
        <v>34898225</v>
      </c>
    </row>
    <row r="81" spans="1:18">
      <c r="A81" s="51">
        <f>A80+1</f>
        <v>39</v>
      </c>
      <c r="B81" s="104" t="s">
        <v>110</v>
      </c>
      <c r="C81" s="104"/>
      <c r="D81" s="59">
        <f t="shared" si="21"/>
        <v>6224302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1583437</v>
      </c>
      <c r="M81" s="89">
        <v>760690</v>
      </c>
      <c r="N81" s="89">
        <v>535669</v>
      </c>
      <c r="O81" s="89">
        <v>0</v>
      </c>
      <c r="P81" s="89">
        <v>0</v>
      </c>
      <c r="Q81" s="102"/>
      <c r="R81" s="105">
        <f t="shared" si="22"/>
        <v>6224302</v>
      </c>
    </row>
    <row r="82" spans="1:18" s="73" customFormat="1" ht="21.75" customHeight="1">
      <c r="A82" s="84">
        <f t="shared" si="23"/>
        <v>40</v>
      </c>
      <c r="B82" s="68" t="s">
        <v>111</v>
      </c>
      <c r="C82" s="68"/>
      <c r="D82" s="69">
        <f t="shared" si="21"/>
        <v>72904171</v>
      </c>
      <c r="E82" s="40">
        <f t="shared" ref="E82:P82" si="24">SUM(E76:E81)</f>
        <v>6183441</v>
      </c>
      <c r="F82" s="40">
        <f t="shared" si="24"/>
        <v>9662506</v>
      </c>
      <c r="G82" s="40">
        <f t="shared" si="24"/>
        <v>3546107</v>
      </c>
      <c r="H82" s="40">
        <f t="shared" si="24"/>
        <v>4135657</v>
      </c>
      <c r="I82" s="40">
        <f t="shared" si="24"/>
        <v>3691972</v>
      </c>
      <c r="J82" s="40">
        <f t="shared" si="24"/>
        <v>2361505</v>
      </c>
      <c r="K82" s="40">
        <f t="shared" si="24"/>
        <v>9615616</v>
      </c>
      <c r="L82" s="40">
        <f t="shared" si="24"/>
        <v>10102506</v>
      </c>
      <c r="M82" s="40">
        <f t="shared" si="24"/>
        <v>10315651</v>
      </c>
      <c r="N82" s="40">
        <f t="shared" si="24"/>
        <v>13289210</v>
      </c>
      <c r="O82" s="40">
        <f t="shared" si="24"/>
        <v>0</v>
      </c>
      <c r="P82" s="40">
        <f t="shared" si="24"/>
        <v>0</v>
      </c>
      <c r="Q82" s="106"/>
      <c r="R82" s="107">
        <f>SUM(R76:R81)</f>
        <v>72904171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f>A82+1</f>
        <v>41</v>
      </c>
      <c r="B84" s="108" t="s">
        <v>112</v>
      </c>
      <c r="C84" s="108"/>
      <c r="D84" s="109">
        <f>SUM(E84:P84)</f>
        <v>150843484.51139998</v>
      </c>
      <c r="E84" s="40">
        <f t="shared" ref="E84:P84" si="25">E24+E47+E65+E82</f>
        <v>13961428.874600001</v>
      </c>
      <c r="F84" s="40">
        <f t="shared" si="25"/>
        <v>12734621.897</v>
      </c>
      <c r="G84" s="40">
        <f t="shared" si="25"/>
        <v>14774899.0331</v>
      </c>
      <c r="H84" s="40">
        <f t="shared" si="25"/>
        <v>12895927.428099999</v>
      </c>
      <c r="I84" s="40">
        <f t="shared" si="25"/>
        <v>5805643.4112999998</v>
      </c>
      <c r="J84" s="40">
        <f t="shared" si="25"/>
        <v>20241966.176799998</v>
      </c>
      <c r="K84" s="40">
        <f t="shared" si="25"/>
        <v>24579093.263</v>
      </c>
      <c r="L84" s="40">
        <f t="shared" si="25"/>
        <v>20361106.484899998</v>
      </c>
      <c r="M84" s="40">
        <f t="shared" si="25"/>
        <v>10601005.1689</v>
      </c>
      <c r="N84" s="40">
        <f t="shared" si="25"/>
        <v>14887792.773700001</v>
      </c>
      <c r="O84" s="40">
        <f t="shared" si="25"/>
        <v>0</v>
      </c>
      <c r="P84" s="40">
        <f t="shared" si="25"/>
        <v>0</v>
      </c>
      <c r="Q84" s="110"/>
      <c r="R84" s="111">
        <f>R24-R47+R65+R82</f>
        <v>280800699.9314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65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113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f>A84+1</f>
        <v>42</v>
      </c>
      <c r="B88" s="112" t="s">
        <v>114</v>
      </c>
      <c r="C88" s="112"/>
      <c r="D88" s="59">
        <f t="shared" ref="D88:D96" si="26">SUM(E88:P88)</f>
        <v>-13935030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-2242470</v>
      </c>
      <c r="M88" s="22">
        <v>-1820198</v>
      </c>
      <c r="N88" s="22">
        <v>-1671830</v>
      </c>
      <c r="O88" s="22">
        <v>0</v>
      </c>
      <c r="P88" s="22">
        <v>0</v>
      </c>
      <c r="Q88" s="102"/>
      <c r="R88" s="103">
        <f t="shared" ref="R88:R96" si="27">SUM(E88:P88)</f>
        <v>-13935030</v>
      </c>
    </row>
    <row r="89" spans="1:18">
      <c r="A89" s="51">
        <v>45</v>
      </c>
      <c r="B89" s="112" t="s">
        <v>115</v>
      </c>
      <c r="C89" s="112"/>
      <c r="D89" s="59">
        <f t="shared" si="26"/>
        <v>-770000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-77000</v>
      </c>
      <c r="M89" s="13">
        <v>-77000</v>
      </c>
      <c r="N89" s="13">
        <v>-77000</v>
      </c>
      <c r="O89" s="13">
        <v>0</v>
      </c>
      <c r="P89" s="13">
        <v>0</v>
      </c>
      <c r="Q89" s="102"/>
      <c r="R89" s="103">
        <f t="shared" si="27"/>
        <v>-770000</v>
      </c>
    </row>
    <row r="90" spans="1:18">
      <c r="A90" s="51">
        <f>A89+1</f>
        <v>46</v>
      </c>
      <c r="B90" s="112" t="s">
        <v>116</v>
      </c>
      <c r="C90" s="112"/>
      <c r="D90" s="59">
        <f t="shared" si="26"/>
        <v>-57129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-200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f t="shared" si="27"/>
        <v>-57129</v>
      </c>
    </row>
    <row r="91" spans="1:18">
      <c r="A91" s="51">
        <f>A90+1</f>
        <v>47</v>
      </c>
      <c r="B91" s="112" t="s">
        <v>117</v>
      </c>
      <c r="C91" s="112"/>
      <c r="D91" s="59">
        <f t="shared" si="26"/>
        <v>-1007202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-100000</v>
      </c>
      <c r="M91" s="22">
        <v>-100000</v>
      </c>
      <c r="N91" s="22">
        <v>-100000</v>
      </c>
      <c r="O91" s="22">
        <v>0</v>
      </c>
      <c r="P91" s="22">
        <v>0</v>
      </c>
      <c r="Q91" s="22"/>
      <c r="R91" s="103"/>
    </row>
    <row r="92" spans="1:18">
      <c r="A92" s="51">
        <f>A91+1</f>
        <v>48</v>
      </c>
      <c r="B92" s="112" t="s">
        <v>118</v>
      </c>
      <c r="C92" s="112"/>
      <c r="D92" s="59">
        <f t="shared" si="26"/>
        <v>-1320306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-100173</v>
      </c>
      <c r="M92" s="22">
        <v>-74767</v>
      </c>
      <c r="N92" s="22">
        <v>-79850</v>
      </c>
      <c r="O92" s="22">
        <v>0</v>
      </c>
      <c r="P92" s="22">
        <v>0</v>
      </c>
      <c r="Q92" s="102"/>
      <c r="R92" s="103">
        <f t="shared" si="27"/>
        <v>-1320306</v>
      </c>
    </row>
    <row r="93" spans="1:18">
      <c r="A93" s="51">
        <f>+A92+1</f>
        <v>49</v>
      </c>
      <c r="B93" s="1" t="s">
        <v>119</v>
      </c>
      <c r="C93" s="1"/>
      <c r="D93" s="21">
        <f>SUM(E93:P93)</f>
        <v>-75913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-11053</v>
      </c>
      <c r="M93" s="116">
        <v>-11053</v>
      </c>
      <c r="N93" s="116">
        <v>-10167</v>
      </c>
      <c r="O93" s="116">
        <v>0</v>
      </c>
      <c r="P93" s="116">
        <v>0</v>
      </c>
      <c r="Q93" s="102"/>
      <c r="R93" s="103">
        <f t="shared" si="27"/>
        <v>-75913</v>
      </c>
    </row>
    <row r="94" spans="1:18">
      <c r="A94" s="51">
        <f>+A93+1</f>
        <v>50</v>
      </c>
      <c r="B94" s="112" t="s">
        <v>120</v>
      </c>
      <c r="C94" s="112"/>
      <c r="D94" s="59">
        <f t="shared" si="26"/>
        <v>-95230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-9523</v>
      </c>
      <c r="M94" s="22">
        <v>-9523</v>
      </c>
      <c r="N94" s="22">
        <v>-9523</v>
      </c>
      <c r="O94" s="22">
        <v>0</v>
      </c>
      <c r="P94" s="22">
        <v>0</v>
      </c>
      <c r="Q94" s="117"/>
      <c r="R94" s="103">
        <f t="shared" si="27"/>
        <v>-95230</v>
      </c>
    </row>
    <row r="95" spans="1:18">
      <c r="A95" s="51">
        <f>+A94+1</f>
        <v>51</v>
      </c>
      <c r="B95" s="118" t="s">
        <v>121</v>
      </c>
      <c r="C95" s="118" t="s">
        <v>122</v>
      </c>
      <c r="D95" s="59">
        <f t="shared" si="26"/>
        <v>-1486260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-146966</v>
      </c>
      <c r="M95" s="89">
        <v>-148294</v>
      </c>
      <c r="N95" s="89">
        <v>-148294</v>
      </c>
      <c r="O95" s="89">
        <v>0</v>
      </c>
      <c r="P95" s="89">
        <v>0</v>
      </c>
      <c r="Q95" s="102"/>
      <c r="R95" s="105">
        <f t="shared" si="27"/>
        <v>-1486260</v>
      </c>
    </row>
    <row r="96" spans="1:18" s="73" customFormat="1" ht="20.25" customHeight="1">
      <c r="A96" s="84">
        <f>A95+1</f>
        <v>52</v>
      </c>
      <c r="B96" s="119" t="s">
        <v>123</v>
      </c>
      <c r="C96" s="119"/>
      <c r="D96" s="69">
        <f t="shared" si="26"/>
        <v>-18747070</v>
      </c>
      <c r="E96" s="69">
        <f>SUM(E88:E95)</f>
        <v>-1152745</v>
      </c>
      <c r="F96" s="69">
        <f t="shared" ref="F96:P96" si="28">SUM(F88:F95)</f>
        <v>-1459637</v>
      </c>
      <c r="G96" s="69">
        <f t="shared" si="28"/>
        <v>-1197340</v>
      </c>
      <c r="H96" s="69">
        <f t="shared" si="28"/>
        <v>-1166811</v>
      </c>
      <c r="I96" s="69">
        <f t="shared" si="28"/>
        <v>-1770478</v>
      </c>
      <c r="J96" s="69">
        <f t="shared" si="28"/>
        <v>-2216150</v>
      </c>
      <c r="K96" s="69">
        <f t="shared" si="28"/>
        <v>-2759025</v>
      </c>
      <c r="L96" s="69">
        <f t="shared" si="28"/>
        <v>-2687385</v>
      </c>
      <c r="M96" s="69">
        <f t="shared" si="28"/>
        <v>-2240835</v>
      </c>
      <c r="N96" s="69">
        <f t="shared" si="28"/>
        <v>-2096664</v>
      </c>
      <c r="O96" s="69">
        <f t="shared" si="28"/>
        <v>0</v>
      </c>
      <c r="P96" s="69">
        <f t="shared" si="28"/>
        <v>0</v>
      </c>
      <c r="Q96" s="106"/>
      <c r="R96" s="107">
        <f t="shared" si="27"/>
        <v>-18747070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124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f>A96+1</f>
        <v>53</v>
      </c>
      <c r="B99" s="1" t="s">
        <v>125</v>
      </c>
      <c r="C99" s="1"/>
      <c r="D99" s="59">
        <f>SUM(E99:P99)</f>
        <v>15180295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1788201</v>
      </c>
      <c r="M99" s="120">
        <v>1615856</v>
      </c>
      <c r="N99" s="120">
        <v>1648252</v>
      </c>
      <c r="O99" s="120">
        <v>0</v>
      </c>
      <c r="P99" s="120">
        <v>0</v>
      </c>
      <c r="Q99" s="102"/>
      <c r="R99" s="103">
        <f>SUM(E99:P99)</f>
        <v>15180295</v>
      </c>
    </row>
    <row r="100" spans="1:18">
      <c r="A100" s="51">
        <f>A99+1</f>
        <v>54</v>
      </c>
      <c r="B100" s="1" t="s">
        <v>126</v>
      </c>
      <c r="C100" s="1" t="s">
        <v>68</v>
      </c>
      <c r="D100" s="59">
        <f>SUM(E100:P100)</f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f>SUM(E100:P100)</f>
        <v>0</v>
      </c>
    </row>
    <row r="101" spans="1:18">
      <c r="A101" s="121">
        <f>A100+1</f>
        <v>55</v>
      </c>
      <c r="B101" s="6" t="s">
        <v>127</v>
      </c>
      <c r="C101" s="6"/>
      <c r="D101" s="59">
        <f>SUM(E101:P101)</f>
        <v>45360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4536</v>
      </c>
      <c r="M101" s="89">
        <v>4536</v>
      </c>
      <c r="N101" s="89">
        <v>4536</v>
      </c>
      <c r="O101" s="89">
        <v>0</v>
      </c>
      <c r="P101" s="89">
        <v>0</v>
      </c>
      <c r="Q101" s="102"/>
      <c r="R101" s="105">
        <f>SUM(E101:P101)</f>
        <v>45360</v>
      </c>
    </row>
    <row r="102" spans="1:18" s="73" customFormat="1" ht="20.25" customHeight="1">
      <c r="A102" s="84">
        <f>A101+1</f>
        <v>56</v>
      </c>
      <c r="B102" s="119" t="s">
        <v>128</v>
      </c>
      <c r="C102" s="119"/>
      <c r="D102" s="69">
        <f>SUM(E102:P102)</f>
        <v>15225655</v>
      </c>
      <c r="E102" s="40">
        <f t="shared" ref="E102:P102" si="29">SUM(E99:E101)</f>
        <v>1427937</v>
      </c>
      <c r="F102" s="40">
        <f t="shared" si="29"/>
        <v>1395907</v>
      </c>
      <c r="G102" s="40">
        <f t="shared" si="29"/>
        <v>1456732</v>
      </c>
      <c r="H102" s="40">
        <f t="shared" si="29"/>
        <v>1373241</v>
      </c>
      <c r="I102" s="40">
        <f t="shared" si="29"/>
        <v>1340017</v>
      </c>
      <c r="J102" s="40">
        <f t="shared" si="29"/>
        <v>1413349</v>
      </c>
      <c r="K102" s="40">
        <f t="shared" si="29"/>
        <v>1752555</v>
      </c>
      <c r="L102" s="40">
        <f t="shared" si="29"/>
        <v>1792737</v>
      </c>
      <c r="M102" s="40">
        <f t="shared" si="29"/>
        <v>1620392</v>
      </c>
      <c r="N102" s="40">
        <f t="shared" si="29"/>
        <v>1652788</v>
      </c>
      <c r="O102" s="40">
        <f t="shared" si="29"/>
        <v>0</v>
      </c>
      <c r="P102" s="40">
        <f t="shared" si="29"/>
        <v>0</v>
      </c>
      <c r="Q102" s="106"/>
      <c r="R102" s="107">
        <f>SUM(E102:P102)</f>
        <v>15225655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129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f>A102+1</f>
        <v>57</v>
      </c>
      <c r="B105" s="1" t="s">
        <v>130</v>
      </c>
      <c r="D105" s="59">
        <f>SUM(E105:P105)</f>
        <v>269428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27965</v>
      </c>
      <c r="M105" s="66">
        <v>24951</v>
      </c>
      <c r="N105" s="66">
        <v>23816</v>
      </c>
      <c r="O105" s="66">
        <v>0</v>
      </c>
      <c r="P105" s="66">
        <v>0</v>
      </c>
      <c r="Q105" s="102"/>
      <c r="R105" s="103"/>
    </row>
    <row r="106" spans="1:18">
      <c r="A106" s="51">
        <f>A105+1</f>
        <v>58</v>
      </c>
      <c r="B106" t="s">
        <v>131</v>
      </c>
      <c r="D106" s="59">
        <f>SUM(E106:P106)</f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f>A106+1</f>
        <v>59</v>
      </c>
      <c r="B107" t="s">
        <v>132</v>
      </c>
      <c r="C107" t="s">
        <v>133</v>
      </c>
      <c r="D107" s="59">
        <f>SUM(E107:P107)</f>
        <v>235686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46165</v>
      </c>
      <c r="M107" s="66">
        <v>26584</v>
      </c>
      <c r="N107" s="66">
        <v>5572</v>
      </c>
      <c r="O107" s="66">
        <v>0</v>
      </c>
      <c r="P107" s="66">
        <v>0</v>
      </c>
      <c r="Q107" s="102"/>
      <c r="R107" s="103"/>
    </row>
    <row r="108" spans="1:18">
      <c r="A108" s="51">
        <f>A107+1</f>
        <v>60</v>
      </c>
      <c r="B108" t="s">
        <v>134</v>
      </c>
      <c r="C108" t="s">
        <v>135</v>
      </c>
      <c r="D108" s="59">
        <f>SUM(E108:P108)</f>
        <v>45961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5158</v>
      </c>
      <c r="M108" s="66">
        <v>4989</v>
      </c>
      <c r="N108" s="66">
        <v>4128</v>
      </c>
      <c r="O108" s="66">
        <v>0</v>
      </c>
      <c r="P108" s="66">
        <v>0</v>
      </c>
      <c r="Q108" s="102"/>
      <c r="R108" s="103"/>
    </row>
    <row r="109" spans="1:18" s="73" customFormat="1" ht="20.25" customHeight="1">
      <c r="A109" s="51">
        <f>A108+1</f>
        <v>61</v>
      </c>
      <c r="B109" s="119" t="s">
        <v>136</v>
      </c>
      <c r="C109" s="119"/>
      <c r="D109" s="69">
        <f>D105+D106+D107+D108</f>
        <v>551075</v>
      </c>
      <c r="E109" s="69">
        <f>E105+E106+E107+E108</f>
        <v>34336</v>
      </c>
      <c r="F109" s="69">
        <f t="shared" ref="F109:P109" si="30">F105+F106+F107+F108</f>
        <v>44852</v>
      </c>
      <c r="G109" s="69">
        <f t="shared" si="30"/>
        <v>37143</v>
      </c>
      <c r="H109" s="69">
        <f t="shared" si="30"/>
        <v>39091</v>
      </c>
      <c r="I109" s="69">
        <f t="shared" si="30"/>
        <v>33946</v>
      </c>
      <c r="J109" s="69">
        <f t="shared" si="30"/>
        <v>48761</v>
      </c>
      <c r="K109" s="69">
        <f t="shared" si="30"/>
        <v>143618</v>
      </c>
      <c r="L109" s="69">
        <f t="shared" si="30"/>
        <v>79288</v>
      </c>
      <c r="M109" s="69">
        <f t="shared" si="30"/>
        <v>56524</v>
      </c>
      <c r="N109" s="69">
        <f t="shared" si="30"/>
        <v>33516</v>
      </c>
      <c r="O109" s="69">
        <f t="shared" si="30"/>
        <v>0</v>
      </c>
      <c r="P109" s="69">
        <f t="shared" si="30"/>
        <v>0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137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f>A109+1</f>
        <v>62</v>
      </c>
      <c r="B112" t="s">
        <v>138</v>
      </c>
      <c r="D112" s="59">
        <f>SUM(E112:P112)</f>
        <v>-6372320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-1825257</v>
      </c>
      <c r="M112" s="58">
        <v>-241215</v>
      </c>
      <c r="N112" s="58">
        <v>895675</v>
      </c>
      <c r="O112" s="58">
        <v>0</v>
      </c>
      <c r="P112" s="58">
        <v>0</v>
      </c>
      <c r="Q112" s="102"/>
      <c r="R112" s="103">
        <f t="shared" ref="R112:R123" si="31">SUM(E112:P112)</f>
        <v>-6372320</v>
      </c>
    </row>
    <row r="113" spans="1:18">
      <c r="A113" s="51">
        <f>A112+1</f>
        <v>63</v>
      </c>
      <c r="B113" t="s">
        <v>139</v>
      </c>
      <c r="D113" s="59">
        <f t="shared" ref="D113:D123" si="32">SUM(E113:P113)</f>
        <v>4534914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1408254</v>
      </c>
      <c r="M113" s="58">
        <v>-645735</v>
      </c>
      <c r="N113" s="58">
        <v>-4864696</v>
      </c>
      <c r="O113" s="58">
        <v>0</v>
      </c>
      <c r="P113" s="58">
        <v>0</v>
      </c>
      <c r="Q113" s="102"/>
      <c r="R113" s="103">
        <f t="shared" si="31"/>
        <v>4534914</v>
      </c>
    </row>
    <row r="114" spans="1:18">
      <c r="A114" s="51">
        <f t="shared" ref="A114:A123" si="33">A113+1</f>
        <v>64</v>
      </c>
      <c r="B114" t="s">
        <v>140</v>
      </c>
      <c r="D114" s="59">
        <f t="shared" si="32"/>
        <v>2157843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1209817</v>
      </c>
      <c r="M114" s="58">
        <v>722071</v>
      </c>
      <c r="N114" s="58">
        <v>0</v>
      </c>
      <c r="O114" s="58">
        <v>0</v>
      </c>
      <c r="P114" s="58">
        <v>0</v>
      </c>
      <c r="Q114" s="102"/>
      <c r="R114" s="103">
        <f t="shared" si="31"/>
        <v>2157843</v>
      </c>
    </row>
    <row r="115" spans="1:18">
      <c r="A115" s="51">
        <f t="shared" si="33"/>
        <v>65</v>
      </c>
      <c r="B115" s="1" t="s">
        <v>141</v>
      </c>
      <c r="C115" s="1"/>
      <c r="D115" s="59">
        <f t="shared" si="32"/>
        <v>-2157843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-1209817</v>
      </c>
      <c r="M115" s="58">
        <v>-722071</v>
      </c>
      <c r="N115" s="58">
        <v>0</v>
      </c>
      <c r="O115" s="58">
        <v>0</v>
      </c>
      <c r="P115" s="58">
        <v>0</v>
      </c>
      <c r="Q115" s="102"/>
      <c r="R115" s="103">
        <f>SUM(E115:P115)</f>
        <v>-2157843</v>
      </c>
    </row>
    <row r="116" spans="1:18">
      <c r="A116" s="51">
        <f t="shared" si="33"/>
        <v>66</v>
      </c>
      <c r="B116" t="s">
        <v>142</v>
      </c>
      <c r="D116" s="59">
        <f t="shared" si="32"/>
        <v>51535250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6452349</v>
      </c>
      <c r="M116" s="58">
        <v>5334032</v>
      </c>
      <c r="N116" s="58">
        <v>8691943</v>
      </c>
      <c r="O116" s="58">
        <v>0</v>
      </c>
      <c r="P116" s="58">
        <v>0</v>
      </c>
      <c r="Q116" s="102"/>
      <c r="R116" s="103">
        <f t="shared" si="31"/>
        <v>51535250</v>
      </c>
    </row>
    <row r="117" spans="1:18">
      <c r="A117" s="51">
        <f t="shared" si="33"/>
        <v>67</v>
      </c>
      <c r="B117" s="1" t="s">
        <v>143</v>
      </c>
      <c r="C117" s="1"/>
      <c r="D117" s="59">
        <f t="shared" si="32"/>
        <v>5940512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851431</v>
      </c>
      <c r="M117" s="58">
        <v>244905</v>
      </c>
      <c r="N117" s="58">
        <v>225944</v>
      </c>
      <c r="O117" s="58">
        <v>0</v>
      </c>
      <c r="P117" s="58">
        <v>0</v>
      </c>
      <c r="Q117" s="102"/>
      <c r="R117" s="103">
        <f t="shared" si="31"/>
        <v>5940512</v>
      </c>
    </row>
    <row r="118" spans="1:18">
      <c r="A118" s="51">
        <f t="shared" si="33"/>
        <v>68</v>
      </c>
      <c r="B118" t="s">
        <v>144</v>
      </c>
      <c r="D118" s="59">
        <f t="shared" si="32"/>
        <v>-37857868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-3475623</v>
      </c>
      <c r="M118" s="58">
        <v>-3388124</v>
      </c>
      <c r="N118" s="58">
        <v>-4488465</v>
      </c>
      <c r="O118" s="58">
        <v>0</v>
      </c>
      <c r="P118" s="58">
        <v>0</v>
      </c>
      <c r="Q118" s="102"/>
      <c r="R118" s="103">
        <f t="shared" si="31"/>
        <v>-37857868</v>
      </c>
    </row>
    <row r="119" spans="1:18">
      <c r="A119" s="51">
        <f t="shared" si="33"/>
        <v>69</v>
      </c>
      <c r="B119" t="s">
        <v>145</v>
      </c>
      <c r="D119" s="59">
        <f t="shared" si="32"/>
        <v>-453084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-47599</v>
      </c>
      <c r="M119" s="58">
        <v>-62259</v>
      </c>
      <c r="N119" s="58">
        <v>-64422</v>
      </c>
      <c r="O119" s="58">
        <v>0</v>
      </c>
      <c r="P119" s="58">
        <v>0</v>
      </c>
      <c r="Q119" s="102"/>
      <c r="R119" s="103"/>
    </row>
    <row r="120" spans="1:18">
      <c r="A120" s="51">
        <f t="shared" si="33"/>
        <v>70</v>
      </c>
      <c r="B120" t="s">
        <v>146</v>
      </c>
      <c r="D120" s="59">
        <f t="shared" si="32"/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f t="shared" si="33"/>
        <v>71</v>
      </c>
      <c r="B121" t="s">
        <v>147</v>
      </c>
      <c r="D121" s="59">
        <f t="shared" si="32"/>
        <v>-23268480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-4594944</v>
      </c>
      <c r="M121" s="58">
        <v>-2635055</v>
      </c>
      <c r="N121" s="58">
        <v>-1409888</v>
      </c>
      <c r="O121" s="58">
        <v>0</v>
      </c>
      <c r="P121" s="58">
        <v>0</v>
      </c>
      <c r="Q121" s="102"/>
      <c r="R121" s="103">
        <f t="shared" si="31"/>
        <v>-23268480</v>
      </c>
    </row>
    <row r="122" spans="1:18">
      <c r="A122" s="51">
        <f t="shared" si="33"/>
        <v>72</v>
      </c>
      <c r="B122" s="1" t="s">
        <v>148</v>
      </c>
      <c r="C122" s="1"/>
      <c r="D122" s="59">
        <f t="shared" si="32"/>
        <v>811582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390425</v>
      </c>
      <c r="M122" s="8">
        <v>0</v>
      </c>
      <c r="N122" s="8">
        <v>0</v>
      </c>
      <c r="O122" s="8">
        <v>0</v>
      </c>
      <c r="P122" s="8">
        <v>0</v>
      </c>
      <c r="Q122" s="102"/>
      <c r="R122" s="103">
        <f>SUM(E122:P122)</f>
        <v>811582</v>
      </c>
    </row>
    <row r="123" spans="1:18">
      <c r="A123" s="51">
        <f t="shared" si="33"/>
        <v>73</v>
      </c>
      <c r="B123" s="104" t="s">
        <v>149</v>
      </c>
      <c r="C123" s="104"/>
      <c r="D123" s="59">
        <f t="shared" si="32"/>
        <v>-811582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-390425</v>
      </c>
      <c r="M123" s="123">
        <v>0</v>
      </c>
      <c r="N123" s="123">
        <v>0</v>
      </c>
      <c r="O123" s="123">
        <v>0</v>
      </c>
      <c r="P123" s="123">
        <v>0</v>
      </c>
      <c r="Q123" s="102"/>
      <c r="R123" s="105">
        <f t="shared" si="31"/>
        <v>-811582</v>
      </c>
    </row>
    <row r="124" spans="1:18" ht="22.5" customHeight="1">
      <c r="A124" s="124">
        <f>+A123+1</f>
        <v>74</v>
      </c>
      <c r="B124" s="119" t="s">
        <v>150</v>
      </c>
      <c r="C124" s="119"/>
      <c r="D124" s="69">
        <f>SUM(E124:P124)</f>
        <v>-5941076</v>
      </c>
      <c r="E124" s="125">
        <f>SUM(E112:E123)</f>
        <v>432797</v>
      </c>
      <c r="F124" s="125">
        <f t="shared" ref="F124:P124" si="34">SUM(F112:F123)</f>
        <v>-525089</v>
      </c>
      <c r="G124" s="125">
        <f t="shared" si="34"/>
        <v>-525156</v>
      </c>
      <c r="H124" s="125">
        <f t="shared" si="34"/>
        <v>-475790</v>
      </c>
      <c r="I124" s="125">
        <f t="shared" si="34"/>
        <v>-550390</v>
      </c>
      <c r="J124" s="125">
        <f t="shared" si="34"/>
        <v>-649847</v>
      </c>
      <c r="K124" s="125">
        <f t="shared" si="34"/>
        <v>-8852</v>
      </c>
      <c r="L124" s="125">
        <f t="shared" si="34"/>
        <v>-1231389</v>
      </c>
      <c r="M124" s="125">
        <f t="shared" si="34"/>
        <v>-1393451</v>
      </c>
      <c r="N124" s="125">
        <f t="shared" si="34"/>
        <v>-1013909</v>
      </c>
      <c r="O124" s="125">
        <f t="shared" si="34"/>
        <v>0</v>
      </c>
      <c r="P124" s="125">
        <f t="shared" si="34"/>
        <v>0</v>
      </c>
      <c r="Q124" s="102"/>
      <c r="R124" s="126">
        <f>SUM(R112:R123)</f>
        <v>-5487992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f>A124+1</f>
        <v>75</v>
      </c>
      <c r="B127" s="2" t="s">
        <v>151</v>
      </c>
      <c r="C127" s="2"/>
      <c r="D127" s="127">
        <f>SUM(E127:P127)</f>
        <v>342798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15177</v>
      </c>
      <c r="M127" s="128">
        <v>35566</v>
      </c>
      <c r="N127" s="128">
        <v>729</v>
      </c>
      <c r="O127" s="128">
        <v>0</v>
      </c>
      <c r="P127" s="128">
        <v>0</v>
      </c>
      <c r="Q127" s="102"/>
      <c r="R127" s="103">
        <f>SUM(E127:P127)</f>
        <v>342798</v>
      </c>
    </row>
    <row r="128" spans="1:18" ht="18.75" customHeight="1">
      <c r="A128" s="124">
        <f>A127+1</f>
        <v>76</v>
      </c>
      <c r="B128" s="119" t="s">
        <v>152</v>
      </c>
      <c r="C128" s="119"/>
      <c r="D128" s="129">
        <f>SUM(E128:P128)</f>
        <v>342798</v>
      </c>
      <c r="E128" s="40">
        <f t="shared" ref="E128:P128" si="35">IF(E24=0," ",E127)</f>
        <v>0</v>
      </c>
      <c r="F128" s="40">
        <f t="shared" si="35"/>
        <v>0</v>
      </c>
      <c r="G128" s="40">
        <f t="shared" si="35"/>
        <v>1189</v>
      </c>
      <c r="H128" s="40">
        <f t="shared" si="35"/>
        <v>0</v>
      </c>
      <c r="I128" s="40">
        <f t="shared" si="35"/>
        <v>0</v>
      </c>
      <c r="J128" s="40">
        <f t="shared" si="35"/>
        <v>0</v>
      </c>
      <c r="K128" s="40">
        <f t="shared" si="35"/>
        <v>290137</v>
      </c>
      <c r="L128" s="40">
        <f t="shared" si="35"/>
        <v>15177</v>
      </c>
      <c r="M128" s="40">
        <f t="shared" si="35"/>
        <v>35566</v>
      </c>
      <c r="N128" s="40">
        <f t="shared" si="35"/>
        <v>729</v>
      </c>
      <c r="O128" s="40" t="str">
        <f t="shared" si="35"/>
        <v xml:space="preserve"> </v>
      </c>
      <c r="P128" s="40" t="str">
        <f t="shared" si="35"/>
        <v xml:space="preserve"> </v>
      </c>
      <c r="Q128" s="102"/>
      <c r="R128" s="103">
        <f>SUM(E128:P128)</f>
        <v>342798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f>A128+1</f>
        <v>77</v>
      </c>
      <c r="B131" s="112" t="s">
        <v>153</v>
      </c>
      <c r="C131" s="112"/>
      <c r="D131" s="128">
        <f>SUM(E131:P131)</f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f>SUM(E131:P131)</f>
        <v>0</v>
      </c>
      <c r="S131" s="131" t="s">
        <v>65</v>
      </c>
    </row>
    <row r="132" spans="1:19">
      <c r="A132" s="121">
        <f>A131+1</f>
        <v>78</v>
      </c>
      <c r="B132" s="132" t="s">
        <v>154</v>
      </c>
      <c r="C132" s="132"/>
      <c r="D132" s="129">
        <f>SUM(E132:P132)</f>
        <v>1199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158</v>
      </c>
      <c r="M132" s="89">
        <v>150</v>
      </c>
      <c r="N132" s="89">
        <v>97</v>
      </c>
      <c r="O132" s="89">
        <v>0</v>
      </c>
      <c r="P132" s="89">
        <v>0</v>
      </c>
      <c r="Q132" s="102"/>
      <c r="R132" s="105">
        <f>SUM(E132:P132)</f>
        <v>1199</v>
      </c>
    </row>
    <row r="133" spans="1:19" ht="17.25" customHeight="1">
      <c r="A133" s="51">
        <f>A132+1</f>
        <v>79</v>
      </c>
      <c r="B133" s="43" t="s">
        <v>155</v>
      </c>
      <c r="C133" s="43"/>
      <c r="D133" s="91">
        <f>SUM(E133:P133)</f>
        <v>1199</v>
      </c>
      <c r="E133" s="91">
        <f>E132-E131</f>
        <v>14</v>
      </c>
      <c r="F133" s="91">
        <f t="shared" ref="F133:P133" si="36">F132-F131</f>
        <v>41</v>
      </c>
      <c r="G133" s="91">
        <f t="shared" si="36"/>
        <v>51</v>
      </c>
      <c r="H133" s="91">
        <f t="shared" si="36"/>
        <v>93</v>
      </c>
      <c r="I133" s="91">
        <f t="shared" si="36"/>
        <v>87</v>
      </c>
      <c r="J133" s="91">
        <f t="shared" si="36"/>
        <v>182</v>
      </c>
      <c r="K133" s="91">
        <f t="shared" si="36"/>
        <v>326</v>
      </c>
      <c r="L133" s="91">
        <f t="shared" si="36"/>
        <v>158</v>
      </c>
      <c r="M133" s="91">
        <f t="shared" si="36"/>
        <v>150</v>
      </c>
      <c r="N133" s="91">
        <f t="shared" si="36"/>
        <v>97</v>
      </c>
      <c r="O133" s="91">
        <f t="shared" si="36"/>
        <v>0</v>
      </c>
      <c r="P133" s="91">
        <f t="shared" si="36"/>
        <v>0</v>
      </c>
      <c r="Q133" s="102"/>
      <c r="R133" s="103">
        <f>SUM(E133:P133)</f>
        <v>1199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f>A133+1</f>
        <v>80</v>
      </c>
      <c r="B135" s="112" t="s">
        <v>156</v>
      </c>
      <c r="C135" s="112"/>
      <c r="D135" s="128">
        <f>SUM(E135:P135)</f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f>SUM(E135:P135)</f>
        <v>0</v>
      </c>
      <c r="S135" s="131" t="s">
        <v>65</v>
      </c>
    </row>
    <row r="136" spans="1:19">
      <c r="A136" s="51">
        <f>A135+1</f>
        <v>81</v>
      </c>
      <c r="B136" s="112" t="s">
        <v>157</v>
      </c>
      <c r="C136" s="112"/>
      <c r="D136" s="128">
        <f>SUM(E136:P136)</f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f>A136+1</f>
        <v>82</v>
      </c>
      <c r="B137" s="118" t="s">
        <v>158</v>
      </c>
      <c r="C137" s="132"/>
      <c r="D137" s="129">
        <f>SUM(E137:P137)</f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f>SUM(E137:P137)</f>
        <v>0</v>
      </c>
    </row>
    <row r="138" spans="1:19" ht="17.25" customHeight="1">
      <c r="A138" s="51">
        <f>A137+1</f>
        <v>83</v>
      </c>
      <c r="B138" s="43" t="s">
        <v>159</v>
      </c>
      <c r="C138" s="43"/>
      <c r="D138" s="91">
        <f>E138+F138+G138+H138+I138+J138+K138</f>
        <v>0</v>
      </c>
      <c r="E138" s="91">
        <f>E135+E136+E137</f>
        <v>0</v>
      </c>
      <c r="F138" s="91">
        <f t="shared" ref="F138:P138" si="37">F135+F136+F137</f>
        <v>0</v>
      </c>
      <c r="G138" s="91">
        <f t="shared" si="37"/>
        <v>0</v>
      </c>
      <c r="H138" s="91">
        <f t="shared" si="37"/>
        <v>0</v>
      </c>
      <c r="I138" s="91">
        <f t="shared" si="37"/>
        <v>0</v>
      </c>
      <c r="J138" s="91">
        <f t="shared" si="37"/>
        <v>0</v>
      </c>
      <c r="K138" s="91">
        <f t="shared" si="37"/>
        <v>0</v>
      </c>
      <c r="L138" s="91">
        <f t="shared" si="37"/>
        <v>0</v>
      </c>
      <c r="M138" s="91">
        <f t="shared" si="37"/>
        <v>0</v>
      </c>
      <c r="N138" s="91">
        <f t="shared" si="37"/>
        <v>0</v>
      </c>
      <c r="O138" s="91">
        <f t="shared" si="37"/>
        <v>0</v>
      </c>
      <c r="P138" s="91">
        <f t="shared" si="37"/>
        <v>0</v>
      </c>
      <c r="Q138" s="91">
        <f>Q135+Q136+Q137</f>
        <v>0</v>
      </c>
      <c r="R138" s="91">
        <f>R135+R136+R137</f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f>A138+1</f>
        <v>84</v>
      </c>
      <c r="B140" s="68" t="s">
        <v>160</v>
      </c>
      <c r="C140" s="68"/>
      <c r="D140" s="69">
        <f>SUM(E140:P140)</f>
        <v>-5597079</v>
      </c>
      <c r="E140" s="40">
        <f t="shared" ref="E140:P140" si="38">IF(E24=0," ",E124+E128+E133)</f>
        <v>432811</v>
      </c>
      <c r="F140" s="40">
        <f t="shared" si="38"/>
        <v>-525048</v>
      </c>
      <c r="G140" s="40">
        <f t="shared" si="38"/>
        <v>-523916</v>
      </c>
      <c r="H140" s="40">
        <f t="shared" si="38"/>
        <v>-475697</v>
      </c>
      <c r="I140" s="40">
        <f t="shared" si="38"/>
        <v>-550303</v>
      </c>
      <c r="J140" s="40">
        <f t="shared" si="38"/>
        <v>-649665</v>
      </c>
      <c r="K140" s="40">
        <f t="shared" si="38"/>
        <v>281611</v>
      </c>
      <c r="L140" s="40">
        <f t="shared" si="38"/>
        <v>-1216054</v>
      </c>
      <c r="M140" s="40">
        <f t="shared" si="38"/>
        <v>-1357735</v>
      </c>
      <c r="N140" s="40">
        <f t="shared" si="38"/>
        <v>-1013083</v>
      </c>
      <c r="O140" s="40" t="str">
        <f t="shared" si="38"/>
        <v xml:space="preserve"> </v>
      </c>
      <c r="P140" s="40" t="str">
        <f t="shared" si="38"/>
        <v xml:space="preserve"> </v>
      </c>
      <c r="Q140" s="102"/>
      <c r="R140" s="103">
        <f>SUM(F140:Q140)</f>
        <v>-6029890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f>A140+1</f>
        <v>85</v>
      </c>
      <c r="B142" s="136" t="s">
        <v>13</v>
      </c>
      <c r="C142" s="136"/>
      <c r="D142" s="137">
        <f>SUM(E142:P142)</f>
        <v>142276065.51139998</v>
      </c>
      <c r="E142" s="138">
        <f t="shared" ref="E142:P142" si="39">IF(E24=0," ",E84+E96+E102+E109+E140+E138)</f>
        <v>14703767.874600001</v>
      </c>
      <c r="F142" s="138">
        <f t="shared" si="39"/>
        <v>12190695.897</v>
      </c>
      <c r="G142" s="138">
        <f t="shared" si="39"/>
        <v>14547518.0331</v>
      </c>
      <c r="H142" s="138">
        <f t="shared" si="39"/>
        <v>12665751.428099999</v>
      </c>
      <c r="I142" s="138">
        <f t="shared" si="39"/>
        <v>4858825.4112999998</v>
      </c>
      <c r="J142" s="138">
        <f t="shared" si="39"/>
        <v>18838261.176799998</v>
      </c>
      <c r="K142" s="138">
        <f t="shared" si="39"/>
        <v>23997852.263</v>
      </c>
      <c r="L142" s="138">
        <f t="shared" si="39"/>
        <v>18329692.484899998</v>
      </c>
      <c r="M142" s="138">
        <f t="shared" si="39"/>
        <v>8679351.1688999999</v>
      </c>
      <c r="N142" s="138">
        <f t="shared" si="39"/>
        <v>13464349.773700001</v>
      </c>
      <c r="O142" s="138" t="str">
        <f t="shared" si="39"/>
        <v xml:space="preserve"> </v>
      </c>
      <c r="P142" s="138" t="str">
        <f t="shared" si="39"/>
        <v xml:space="preserve"> 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6CF0-0303-4D62-A001-822813E99323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7" ht="20.65">
      <c r="A2" s="193" t="s">
        <v>161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7" ht="22.5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7" spans="1:17" ht="27" customHeight="1">
      <c r="A7" s="142" t="s">
        <v>163</v>
      </c>
      <c r="B7" s="143">
        <v>44227</v>
      </c>
      <c r="C7" s="143">
        <f>EOMONTH(B7,1)</f>
        <v>44255</v>
      </c>
      <c r="D7" s="143">
        <f t="shared" ref="D7:M7" si="0">EOMONTH(C7,1)</f>
        <v>44286</v>
      </c>
      <c r="E7" s="143">
        <f t="shared" si="0"/>
        <v>44316</v>
      </c>
      <c r="F7" s="143">
        <f t="shared" si="0"/>
        <v>44347</v>
      </c>
      <c r="G7" s="143">
        <f t="shared" si="0"/>
        <v>44377</v>
      </c>
      <c r="H7" s="143">
        <f t="shared" si="0"/>
        <v>44408</v>
      </c>
      <c r="I7" s="143">
        <f t="shared" si="0"/>
        <v>44439</v>
      </c>
      <c r="J7" s="143">
        <f t="shared" si="0"/>
        <v>44469</v>
      </c>
      <c r="K7" s="143">
        <f t="shared" si="0"/>
        <v>44500</v>
      </c>
      <c r="L7" s="143">
        <f t="shared" si="0"/>
        <v>44530</v>
      </c>
      <c r="M7" s="143">
        <f t="shared" si="0"/>
        <v>44561</v>
      </c>
      <c r="N7" s="144" t="s">
        <v>164</v>
      </c>
    </row>
    <row r="8" spans="1:17" ht="24.95" customHeight="1">
      <c r="A8" s="145" t="s">
        <v>165</v>
      </c>
      <c r="B8" s="146">
        <f>'[1]Input Tab'!C54</f>
        <v>523729</v>
      </c>
      <c r="C8" s="146">
        <f>'[1]Input Tab'!D54</f>
        <v>501047</v>
      </c>
      <c r="D8" s="146">
        <f>'[1]Input Tab'!E54</f>
        <v>536506</v>
      </c>
      <c r="E8" s="146">
        <f>'[1]Input Tab'!F54</f>
        <v>441255</v>
      </c>
      <c r="F8" s="146">
        <f>'[1]Input Tab'!G54</f>
        <v>400880</v>
      </c>
      <c r="G8" s="146">
        <f>'[1]Input Tab'!H54</f>
        <v>432739</v>
      </c>
      <c r="H8" s="146">
        <f>'[1]Input Tab'!I54</f>
        <v>533586</v>
      </c>
      <c r="I8" s="146">
        <f>'[1]Input Tab'!J54</f>
        <v>533857</v>
      </c>
      <c r="J8" s="146">
        <f>'[1]Input Tab'!K54</f>
        <v>457882</v>
      </c>
      <c r="K8" s="146">
        <f>'[1]Input Tab'!L54</f>
        <v>409808</v>
      </c>
      <c r="L8" s="146">
        <f>'[1]Input Tab'!M54</f>
        <v>0</v>
      </c>
      <c r="M8" s="146">
        <f>'[1]Input Tab'!N54</f>
        <v>0</v>
      </c>
      <c r="N8" s="147">
        <f t="shared" ref="N8:N13" si="1">SUM(B8:M8)</f>
        <v>4771289</v>
      </c>
      <c r="P8" s="148"/>
    </row>
    <row r="9" spans="1:17" ht="24.95" customHeight="1">
      <c r="A9" s="149" t="s">
        <v>166</v>
      </c>
      <c r="B9" s="150">
        <f>-310534094/1000</f>
        <v>-310534.09399999998</v>
      </c>
      <c r="C9" s="151">
        <f>IF(C8=0,0,-B10)</f>
        <v>-291212</v>
      </c>
      <c r="D9" s="151">
        <f t="shared" ref="D9:M9" si="2">IF(D8=0,0,-C10)</f>
        <v>-272741</v>
      </c>
      <c r="E9" s="151">
        <f t="shared" si="2"/>
        <v>-225056</v>
      </c>
      <c r="F9" s="151">
        <f t="shared" si="2"/>
        <v>-200672</v>
      </c>
      <c r="G9" s="151">
        <f t="shared" si="2"/>
        <v>-224333</v>
      </c>
      <c r="H9" s="151">
        <f t="shared" si="2"/>
        <v>-285426</v>
      </c>
      <c r="I9" s="151">
        <f t="shared" si="2"/>
        <v>-298640</v>
      </c>
      <c r="J9" s="151">
        <f t="shared" si="2"/>
        <v>-270063</v>
      </c>
      <c r="K9" s="151">
        <f t="shared" si="2"/>
        <v>-234260</v>
      </c>
      <c r="L9" s="151">
        <f t="shared" si="2"/>
        <v>0</v>
      </c>
      <c r="M9" s="151">
        <f t="shared" si="2"/>
        <v>0</v>
      </c>
      <c r="N9" s="147">
        <f t="shared" si="1"/>
        <v>-2612937.094</v>
      </c>
    </row>
    <row r="10" spans="1:17" ht="24.95" customHeight="1">
      <c r="A10" s="149" t="s">
        <v>167</v>
      </c>
      <c r="B10" s="146">
        <f>'[1]Input Tab'!C55</f>
        <v>291212</v>
      </c>
      <c r="C10" s="146">
        <f>'[1]Input Tab'!D55</f>
        <v>272741</v>
      </c>
      <c r="D10" s="146">
        <f>'[1]Input Tab'!E55</f>
        <v>225056</v>
      </c>
      <c r="E10" s="146">
        <f>'[1]Input Tab'!F55</f>
        <v>200672</v>
      </c>
      <c r="F10" s="146">
        <f>'[1]Input Tab'!G55</f>
        <v>224333</v>
      </c>
      <c r="G10" s="146">
        <f>'[1]Input Tab'!H55</f>
        <v>285426</v>
      </c>
      <c r="H10" s="146">
        <f>'[1]Input Tab'!I55</f>
        <v>298640</v>
      </c>
      <c r="I10" s="146">
        <f>'[1]Input Tab'!J55</f>
        <v>270063</v>
      </c>
      <c r="J10" s="146">
        <f>'[1]Input Tab'!K55</f>
        <v>234260</v>
      </c>
      <c r="K10" s="146">
        <f>'[1]Input Tab'!L55</f>
        <v>259081</v>
      </c>
      <c r="L10" s="146">
        <f>'[1]Input Tab'!M55</f>
        <v>0</v>
      </c>
      <c r="M10" s="146">
        <f>'[1]Input Tab'!N55</f>
        <v>0</v>
      </c>
      <c r="N10" s="147">
        <f t="shared" si="1"/>
        <v>2561484</v>
      </c>
      <c r="P10" s="152"/>
      <c r="Q10" s="152"/>
    </row>
    <row r="11" spans="1:17" ht="30.75" customHeight="1">
      <c r="A11" s="153" t="s">
        <v>168</v>
      </c>
      <c r="B11" s="154">
        <f t="shared" ref="B11:L11" si="3">SUM(B8:B10)</f>
        <v>504406.90600000002</v>
      </c>
      <c r="C11" s="154">
        <f t="shared" si="3"/>
        <v>482576</v>
      </c>
      <c r="D11" s="154">
        <f t="shared" si="3"/>
        <v>488821</v>
      </c>
      <c r="E11" s="154">
        <f t="shared" si="3"/>
        <v>416871</v>
      </c>
      <c r="F11" s="154">
        <f t="shared" si="3"/>
        <v>424541</v>
      </c>
      <c r="G11" s="154">
        <f t="shared" si="3"/>
        <v>493832</v>
      </c>
      <c r="H11" s="154">
        <f t="shared" si="3"/>
        <v>546800</v>
      </c>
      <c r="I11" s="154">
        <f t="shared" si="3"/>
        <v>505280</v>
      </c>
      <c r="J11" s="154">
        <f t="shared" si="3"/>
        <v>422079</v>
      </c>
      <c r="K11" s="154">
        <f t="shared" si="3"/>
        <v>434629</v>
      </c>
      <c r="L11" s="154">
        <f t="shared" si="3"/>
        <v>0</v>
      </c>
      <c r="M11" s="154">
        <f>SUM(M8:M10)</f>
        <v>0</v>
      </c>
      <c r="N11" s="155">
        <f t="shared" si="1"/>
        <v>4719835.9059999995</v>
      </c>
      <c r="P11" s="150"/>
      <c r="Q11" s="148"/>
    </row>
    <row r="12" spans="1:17" ht="32.25" customHeight="1">
      <c r="A12" s="156" t="s">
        <v>169</v>
      </c>
      <c r="B12" s="157">
        <f>'[1]Input Tab'!C56</f>
        <v>556117</v>
      </c>
      <c r="C12" s="157">
        <f>'[1]Input Tab'!D56</f>
        <v>486363</v>
      </c>
      <c r="D12" s="157">
        <f>'[1]Input Tab'!E56</f>
        <v>477535</v>
      </c>
      <c r="E12" s="157">
        <f>'[1]Input Tab'!F56</f>
        <v>431246</v>
      </c>
      <c r="F12" s="157">
        <f>'[1]Input Tab'!G56</f>
        <v>432473</v>
      </c>
      <c r="G12" s="157">
        <f>'[1]Input Tab'!H56</f>
        <v>424693</v>
      </c>
      <c r="H12" s="157">
        <f>'[1]Input Tab'!I56</f>
        <v>490670</v>
      </c>
      <c r="I12" s="157">
        <f>'[1]Input Tab'!J56</f>
        <v>464617</v>
      </c>
      <c r="J12" s="157">
        <f>'[1]Input Tab'!K56</f>
        <v>435934</v>
      </c>
      <c r="K12" s="157">
        <f>'[1]Input Tab'!L56</f>
        <v>453843</v>
      </c>
      <c r="L12" s="157">
        <f>'[1]Input Tab'!M56</f>
        <v>464733</v>
      </c>
      <c r="M12" s="157">
        <f>'[1]Input Tab'!N56</f>
        <v>551297</v>
      </c>
      <c r="N12" s="158">
        <f>SUM(B12:K12)</f>
        <v>4653491</v>
      </c>
      <c r="P12" s="96" t="s">
        <v>170</v>
      </c>
    </row>
    <row r="13" spans="1:17" ht="38.25" customHeight="1">
      <c r="A13" s="159" t="s">
        <v>171</v>
      </c>
      <c r="B13" s="160">
        <f>B11-B12</f>
        <v>-51710.093999999983</v>
      </c>
      <c r="C13" s="160">
        <f>IF(C8=0," ",C11-C12)</f>
        <v>-3787</v>
      </c>
      <c r="D13" s="160">
        <f t="shared" ref="D13:M13" si="4">IF(D8=0," ",D11-D12)</f>
        <v>11286</v>
      </c>
      <c r="E13" s="160">
        <f t="shared" si="4"/>
        <v>-14375</v>
      </c>
      <c r="F13" s="160">
        <f t="shared" si="4"/>
        <v>-7932</v>
      </c>
      <c r="G13" s="160">
        <f t="shared" si="4"/>
        <v>69139</v>
      </c>
      <c r="H13" s="160">
        <f t="shared" si="4"/>
        <v>56130</v>
      </c>
      <c r="I13" s="160">
        <f t="shared" si="4"/>
        <v>40663</v>
      </c>
      <c r="J13" s="160">
        <f t="shared" si="4"/>
        <v>-13855</v>
      </c>
      <c r="K13" s="160">
        <f t="shared" si="4"/>
        <v>-19214</v>
      </c>
      <c r="L13" s="160" t="str">
        <f t="shared" si="4"/>
        <v xml:space="preserve"> </v>
      </c>
      <c r="M13" s="160" t="str">
        <f t="shared" si="4"/>
        <v xml:space="preserve"> </v>
      </c>
      <c r="N13" s="161">
        <f t="shared" si="1"/>
        <v>66344.906000000017</v>
      </c>
    </row>
    <row r="14" spans="1:17" ht="42.75" customHeight="1">
      <c r="A14" s="159" t="s">
        <v>172</v>
      </c>
      <c r="B14" s="162">
        <f>'[1]Input Tab'!C57</f>
        <v>18.11</v>
      </c>
      <c r="C14" s="162">
        <f>'[1]Input Tab'!D57</f>
        <v>18.11</v>
      </c>
      <c r="D14" s="162">
        <f>'[1]Input Tab'!E57</f>
        <v>18.11</v>
      </c>
      <c r="E14" s="162">
        <f>'[1]Input Tab'!F57</f>
        <v>18.11</v>
      </c>
      <c r="F14" s="162">
        <f>'[1]Input Tab'!G57</f>
        <v>18.11</v>
      </c>
      <c r="G14" s="162">
        <f>'[1]Input Tab'!H57</f>
        <v>18.11</v>
      </c>
      <c r="H14" s="162">
        <f>'[1]Input Tab'!I57</f>
        <v>18.11</v>
      </c>
      <c r="I14" s="162">
        <f>'[1]Input Tab'!J57</f>
        <v>18.11</v>
      </c>
      <c r="J14" s="162">
        <f>'[1]Input Tab'!K57</f>
        <v>18.11</v>
      </c>
      <c r="K14" s="162">
        <f>'[1]Input Tab'!L57</f>
        <v>13</v>
      </c>
      <c r="L14" s="162">
        <f>'[1]Input Tab'!M57</f>
        <v>13</v>
      </c>
      <c r="M14" s="162">
        <f>'[1]Input Tab'!N57</f>
        <v>13</v>
      </c>
      <c r="N14" s="147"/>
    </row>
    <row r="15" spans="1:17" ht="30.75" customHeight="1" thickBot="1">
      <c r="A15" s="163" t="s">
        <v>173</v>
      </c>
      <c r="B15" s="164">
        <f>B13*B14</f>
        <v>-936469.8023399997</v>
      </c>
      <c r="C15" s="164">
        <f>IF(C8=0,0,C13*C14)</f>
        <v>-68582.569999999992</v>
      </c>
      <c r="D15" s="164">
        <f t="shared" ref="D15:M15" si="5">IF(D8=0,0,D13*D14)</f>
        <v>204389.46</v>
      </c>
      <c r="E15" s="164">
        <f t="shared" si="5"/>
        <v>-260331.25</v>
      </c>
      <c r="F15" s="164">
        <f t="shared" si="5"/>
        <v>-143648.51999999999</v>
      </c>
      <c r="G15" s="164">
        <f t="shared" si="5"/>
        <v>1252107.29</v>
      </c>
      <c r="H15" s="164">
        <f t="shared" si="5"/>
        <v>1016514.2999999999</v>
      </c>
      <c r="I15" s="164">
        <f t="shared" si="5"/>
        <v>736406.92999999993</v>
      </c>
      <c r="J15" s="164">
        <f t="shared" si="5"/>
        <v>-250914.05</v>
      </c>
      <c r="K15" s="164">
        <f t="shared" si="5"/>
        <v>-249782</v>
      </c>
      <c r="L15" s="164">
        <f t="shared" si="5"/>
        <v>0</v>
      </c>
      <c r="M15" s="164">
        <f t="shared" si="5"/>
        <v>0</v>
      </c>
      <c r="N15" s="164">
        <f>SUM(B15:M15)</f>
        <v>1299689.7876599999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174</v>
      </c>
      <c r="B18" s="168">
        <f>B7</f>
        <v>44227</v>
      </c>
      <c r="C18" s="168">
        <f t="shared" ref="C18:N18" si="6">C7</f>
        <v>44255</v>
      </c>
      <c r="D18" s="168">
        <f t="shared" si="6"/>
        <v>44286</v>
      </c>
      <c r="E18" s="168">
        <f t="shared" si="6"/>
        <v>44316</v>
      </c>
      <c r="F18" s="168">
        <f t="shared" si="6"/>
        <v>44347</v>
      </c>
      <c r="G18" s="168">
        <f t="shared" si="6"/>
        <v>44377</v>
      </c>
      <c r="H18" s="168">
        <f t="shared" si="6"/>
        <v>44408</v>
      </c>
      <c r="I18" s="168">
        <f t="shared" si="6"/>
        <v>44439</v>
      </c>
      <c r="J18" s="168">
        <f t="shared" si="6"/>
        <v>44469</v>
      </c>
      <c r="K18" s="168">
        <f t="shared" si="6"/>
        <v>44500</v>
      </c>
      <c r="L18" s="168">
        <f t="shared" si="6"/>
        <v>44530</v>
      </c>
      <c r="M18" s="168">
        <f t="shared" si="6"/>
        <v>44561</v>
      </c>
      <c r="N18" s="143" t="str">
        <f t="shared" si="6"/>
        <v>YTD</v>
      </c>
    </row>
    <row r="19" spans="1:14" ht="29.25" customHeight="1">
      <c r="A19" s="169" t="s">
        <v>175</v>
      </c>
      <c r="B19" s="170">
        <f>IF(B8=0," ",B15*-1)</f>
        <v>936469.8023399997</v>
      </c>
      <c r="C19" s="170">
        <f>IF(C8=0," ",C15*-1)</f>
        <v>68582.569999999992</v>
      </c>
      <c r="D19" s="170">
        <f t="shared" ref="D19:M19" si="7">IF(D8=0," ",D15*-1)</f>
        <v>-204389.46</v>
      </c>
      <c r="E19" s="170">
        <f t="shared" si="7"/>
        <v>260331.25</v>
      </c>
      <c r="F19" s="170">
        <f t="shared" si="7"/>
        <v>143648.51999999999</v>
      </c>
      <c r="G19" s="170">
        <f t="shared" si="7"/>
        <v>-1252107.29</v>
      </c>
      <c r="H19" s="170">
        <f t="shared" si="7"/>
        <v>-1016514.2999999999</v>
      </c>
      <c r="I19" s="170">
        <f t="shared" si="7"/>
        <v>-736406.92999999993</v>
      </c>
      <c r="J19" s="170">
        <f t="shared" si="7"/>
        <v>250914.05</v>
      </c>
      <c r="K19" s="170">
        <f t="shared" si="7"/>
        <v>249782</v>
      </c>
      <c r="L19" s="170" t="str">
        <f t="shared" si="7"/>
        <v xml:space="preserve"> </v>
      </c>
      <c r="M19" s="170" t="str">
        <f t="shared" si="7"/>
        <v xml:space="preserve"> </v>
      </c>
      <c r="N19" s="170">
        <f>N15*-1</f>
        <v>-1299689.7876599999</v>
      </c>
    </row>
    <row r="20" spans="1:14">
      <c r="A20" s="171"/>
      <c r="B20" s="172" t="str">
        <f>IF(B19&lt;0,"Rebate","Surcharge")</f>
        <v>Surcharge</v>
      </c>
      <c r="C20" s="172" t="str">
        <f t="shared" ref="C20:N20" si="8">IF(C19&lt;0,"Rebate","Surcharge")</f>
        <v>Surcharge</v>
      </c>
      <c r="D20" s="172" t="str">
        <f t="shared" si="8"/>
        <v>Rebate</v>
      </c>
      <c r="E20" s="172" t="str">
        <f t="shared" si="8"/>
        <v>Surcharge</v>
      </c>
      <c r="F20" s="172" t="str">
        <f t="shared" si="8"/>
        <v>Surcharge</v>
      </c>
      <c r="G20" s="172" t="str">
        <f t="shared" si="8"/>
        <v>Rebate</v>
      </c>
      <c r="H20" s="172" t="str">
        <f t="shared" si="8"/>
        <v>Rebate</v>
      </c>
      <c r="I20" s="172" t="str">
        <f t="shared" si="8"/>
        <v>Rebate</v>
      </c>
      <c r="J20" s="172" t="str">
        <f t="shared" si="8"/>
        <v>Surcharge</v>
      </c>
      <c r="K20" s="172" t="str">
        <f t="shared" si="8"/>
        <v>Surcharge</v>
      </c>
      <c r="L20" s="172" t="str">
        <f t="shared" si="8"/>
        <v>Surcharge</v>
      </c>
      <c r="M20" s="172" t="str">
        <f t="shared" si="8"/>
        <v>Surcharge</v>
      </c>
      <c r="N20" s="172" t="str">
        <f t="shared" si="8"/>
        <v>Rebate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044AD2-7145-43AF-82C7-AFBBDF7BE19A}"/>
</file>

<file path=customXml/itemProps2.xml><?xml version="1.0" encoding="utf-8"?>
<ds:datastoreItem xmlns:ds="http://schemas.openxmlformats.org/officeDocument/2006/customXml" ds:itemID="{A31DF9C1-5B2E-41AA-8045-5916289A9556}"/>
</file>

<file path=customXml/itemProps3.xml><?xml version="1.0" encoding="utf-8"?>
<ds:datastoreItem xmlns:ds="http://schemas.openxmlformats.org/officeDocument/2006/customXml" ds:itemID="{F0E63229-107B-40ED-938F-6B6E7FF0A3EB}"/>
</file>

<file path=customXml/itemProps4.xml><?xml version="1.0" encoding="utf-8"?>
<ds:datastoreItem xmlns:ds="http://schemas.openxmlformats.org/officeDocument/2006/customXml" ds:itemID="{48A6AE70-5AFA-4993-853B-85EA790EE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2021-11-12T15:55:11Z</dcterms:created>
  <dcterms:modified xsi:type="dcterms:W3CDTF">2021-11-12T16:45:08Z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