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JL2 COS Study" sheetId="1" r:id="rId1"/>
    <sheet name="JL3 Rate Spread" sheetId="2" r:id="rId2"/>
    <sheet name="JL4 Res Rate Design" sheetId="3" r:id="rId3"/>
    <sheet name="JL4 Basic charge" sheetId="4" r:id="rId4"/>
    <sheet name="Margin as Proposed" sheetId="5" r:id="rId5"/>
    <sheet name="Bill Frequency At 30" sheetId="6" r:id="rId6"/>
    <sheet name="Usage over tim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<sst xmlns="http://schemas.openxmlformats.org/spreadsheetml/2006/main" count="248" uniqueCount="142">
  <si>
    <t>Cascade Rate Spread Proposal</t>
  </si>
  <si>
    <t>Class</t>
  </si>
  <si>
    <t>Current Margin</t>
  </si>
  <si>
    <t>Proposed Increase</t>
  </si>
  <si>
    <t>%</t>
  </si>
  <si>
    <t>Residential</t>
  </si>
  <si>
    <t>Schedule</t>
  </si>
  <si>
    <t>Dry Out</t>
  </si>
  <si>
    <t>Gas AirCon</t>
  </si>
  <si>
    <t>Commerical GS</t>
  </si>
  <si>
    <t>Large Volume</t>
  </si>
  <si>
    <t>CNG</t>
  </si>
  <si>
    <t>Industrial Firm</t>
  </si>
  <si>
    <t>Industrial Interruptible</t>
  </si>
  <si>
    <t>Instittutional Interruptible</t>
  </si>
  <si>
    <t>Subtotal Core</t>
  </si>
  <si>
    <t>Distribution Transporation</t>
  </si>
  <si>
    <t>Large Volume Transporation</t>
  </si>
  <si>
    <t>Special Contracts</t>
  </si>
  <si>
    <t>Subtotal non-Core</t>
  </si>
  <si>
    <t>Total Other Revenue and Taxes</t>
  </si>
  <si>
    <t>Total</t>
  </si>
  <si>
    <t>Subtotal Tariff Revenues</t>
  </si>
  <si>
    <t>From: Stolz JTS-9 Schedule 3 P. 2</t>
  </si>
  <si>
    <t>Cascade Usage of Residential and Transportation Customers</t>
  </si>
  <si>
    <t>Year</t>
  </si>
  <si>
    <t>Transportation</t>
  </si>
  <si>
    <t>Source:  Cascade Natural Gas Annual Reports to Shareholders</t>
  </si>
  <si>
    <t>Cascade Residential Rate Design As Proposed</t>
  </si>
  <si>
    <t>Per Company</t>
  </si>
  <si>
    <t>Units</t>
  </si>
  <si>
    <t>Current Rate</t>
  </si>
  <si>
    <t>Current Revenue</t>
  </si>
  <si>
    <t>Proposed Rate</t>
  </si>
  <si>
    <t>Proposed Revenue</t>
  </si>
  <si>
    <t>% Increase</t>
  </si>
  <si>
    <t>Basic Charge</t>
  </si>
  <si>
    <t>Winter</t>
  </si>
  <si>
    <t>Summer</t>
  </si>
  <si>
    <t>Commodity Charge</t>
  </si>
  <si>
    <t>Distribution</t>
  </si>
  <si>
    <t>Total Margin</t>
  </si>
  <si>
    <t>WACOG</t>
  </si>
  <si>
    <t>Total With Gas</t>
  </si>
  <si>
    <t>Target Increase:</t>
  </si>
  <si>
    <t>Provided by Customer Charge</t>
  </si>
  <si>
    <t>Required from Commodity Charge</t>
  </si>
  <si>
    <t>Increase Required</t>
  </si>
  <si>
    <t>Inverted Rate Design Holding First Block Constant</t>
  </si>
  <si>
    <t>First 30 Therms</t>
  </si>
  <si>
    <t>Additional Therms</t>
  </si>
  <si>
    <t>Total Therms</t>
  </si>
  <si>
    <t>Elasticity Impact of Inverted Rate Design</t>
  </si>
  <si>
    <t>Usage Subject to Relative Increase</t>
  </si>
  <si>
    <t>Rate Without Inverted Rate</t>
  </si>
  <si>
    <t>Rate With Inverted Rate</t>
  </si>
  <si>
    <t>Difference %</t>
  </si>
  <si>
    <t>Long Run Elasticity at -.0.3</t>
  </si>
  <si>
    <t>Usage Subject to Relative Decrease</t>
  </si>
  <si>
    <t>Net Annual Therm Savings</t>
  </si>
  <si>
    <t>Block Breaking at 30 Therms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</si>
  <si>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</si>
  <si>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</si>
  <si>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</si>
  <si>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</si>
  <si>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</si>
  <si>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</si>
  <si>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</si>
  <si>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</si>
  <si>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</si>
  <si>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</si>
  <si>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</si>
  <si>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</si>
  <si>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Cum Bills @ 30</t>
  </si>
  <si>
    <t>Cum Usage @ 30</t>
  </si>
  <si>
    <t>Total Bills</t>
  </si>
  <si>
    <t>Total Usage</t>
  </si>
  <si>
    <t>Bills over 30</t>
  </si>
  <si>
    <t>First Block Usage by Customers Over 30</t>
  </si>
  <si>
    <t>Total Billed at Rate for 30</t>
  </si>
  <si>
    <t>Total Billed at Upper Block Rate</t>
  </si>
  <si>
    <t>Current Rate Design</t>
  </si>
  <si>
    <t>Rates With Company-Requested Increase</t>
  </si>
  <si>
    <t>Company Revenue Level</t>
  </si>
  <si>
    <t>Uniform Percentage of Margin Rate Spread</t>
  </si>
  <si>
    <t>Company-Requested Revenue Level</t>
  </si>
  <si>
    <t>Residential Rates With Current Rate Design</t>
  </si>
  <si>
    <t>Company-Requested Increase</t>
  </si>
  <si>
    <t>Delivery Charge</t>
  </si>
  <si>
    <t>Residential Rates With Inverted Rate Design</t>
  </si>
  <si>
    <t>Over 30 Therms</t>
  </si>
  <si>
    <t>Assumed Commodity Rate</t>
  </si>
  <si>
    <t>Rates With $4 Million Overall Increase</t>
  </si>
  <si>
    <t>$4 million Revenue Level</t>
  </si>
  <si>
    <t>$4 million overall increase</t>
  </si>
  <si>
    <t>Cost of Meters and Meter Reading and Billing</t>
  </si>
  <si>
    <t>Plant in Service</t>
  </si>
  <si>
    <t>Less Accumulated Depreciation</t>
  </si>
  <si>
    <t>Meters</t>
  </si>
  <si>
    <t>Meter Installations</t>
  </si>
  <si>
    <t>Net Rate Base</t>
  </si>
  <si>
    <t>Net of Tax Rate of Return (from PSE)</t>
  </si>
  <si>
    <t>Conversion Factor (Cascade)</t>
  </si>
  <si>
    <t>Barnard, KJB-3</t>
  </si>
  <si>
    <t>Meter Return Requirement</t>
  </si>
  <si>
    <t>Depreciation Expense</t>
  </si>
  <si>
    <t>Total Meter Revenue Requirement</t>
  </si>
  <si>
    <t>Customers</t>
  </si>
  <si>
    <t>Meter Revenue Requirement / Year / Customer</t>
  </si>
  <si>
    <t>Meter Reading and Billing Cost / Year / Customer</t>
  </si>
  <si>
    <t>Dickey, LMD-2</t>
  </si>
  <si>
    <t>Total Metering, Meter Reading, and Billing Cost</t>
  </si>
  <si>
    <t>Cost/Month/Customer</t>
  </si>
  <si>
    <t>PC #64</t>
  </si>
  <si>
    <t>Note:  PSE Net of Tax Return as Proposed by Staff Used as Proxy for Cascade</t>
  </si>
  <si>
    <t>Current Basic Charge:</t>
  </si>
  <si>
    <t>$4 Million Increase</t>
  </si>
  <si>
    <t>Flawed Elements of Cost of Service Study</t>
  </si>
  <si>
    <t>Production</t>
  </si>
  <si>
    <t>Transmission</t>
  </si>
  <si>
    <t>No distinction between high-load-factor uses like water heat, vs low load-factor usage like space heat.  Tends to overprice gas supply for higher load-factor end-uses.</t>
  </si>
  <si>
    <t>Calculation of 5-day, 3-year peak demands do not appear to match raw data provided in response to PC Data Request 320</t>
  </si>
  <si>
    <t>Direct assignments to special contract customers were not clear.</t>
  </si>
  <si>
    <t>Intangible</t>
  </si>
  <si>
    <t>Allocated on basis of total plant.   Most if franchises, which are revenue-related.</t>
  </si>
  <si>
    <t>No non-coincident peak allocation; sharp decline in large customer (transportation) usage suggests some direct assignment of underused plant may be appropriate.</t>
  </si>
  <si>
    <t>Administrative and General</t>
  </si>
  <si>
    <t>Commission past directive to allocate 50% of A&amp;G expense on throughput was not followed.  This is a huge impact on the COS Study.</t>
  </si>
  <si>
    <t>Services and house regulators classified as customer-related.  Line extension policy includes services, house regulators as part of the volumetric line extension allowance, not as part of the customer-related meter installation.  This is a huge impact on the COS study.</t>
  </si>
  <si>
    <t>Contributions in Aid of Construction / Customer Advances</t>
  </si>
  <si>
    <t>Allocated to all classes.  Actual revenues are almost exclusively residential in nature.  This is a significant impact on the COS Study.</t>
  </si>
  <si>
    <t>Billing costs not allocated on weighted customer basis, reflecting the higher cost of processing large-customer bills, and greater distance between them for meter readers.</t>
  </si>
  <si>
    <t>Elements in italics are addressed in the sensitivity study presented within the testimony.</t>
  </si>
  <si>
    <t>Addition errors corrected by Mr. Lazar</t>
  </si>
  <si>
    <t>Docket No. UG-060256</t>
  </si>
  <si>
    <t>Exhibit No. __ (JL-4)</t>
  </si>
  <si>
    <t>Page 1 of 4</t>
  </si>
  <si>
    <t>Page 2 of 4</t>
  </si>
  <si>
    <t>Page 3 of 4</t>
  </si>
  <si>
    <t>Page 4 of 4</t>
  </si>
  <si>
    <t>Page 1of 4</t>
  </si>
  <si>
    <t>Workpapers of JL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</si>
</sst>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.00000_);_(&quot;$&quot;* \(#,##0.00000\);_(&quot;$&quot;* &quot;-&quot;??_);_(@_)"/>
    <numFmt numFmtId="170" formatCode="&quot;$&quot;#,##0.00000_);\(&quot;$&quot;#,##0.0000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00_);_(* \(#,##0.00000\);_(* &quot;-&quot;???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5" fontId="0" fillId="0" borderId="0" xfId="17" applyNumberFormat="1" applyAlignment="1">
      <alignment/>
    </xf>
    <xf numFmtId="166" fontId="0" fillId="0" borderId="0" xfId="19" applyNumberFormat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166" fontId="0" fillId="0" borderId="1" xfId="19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17" applyNumberFormat="1" applyFont="1" applyBorder="1" applyAlignment="1">
      <alignment horizontal="center"/>
    </xf>
    <xf numFmtId="166" fontId="2" fillId="0" borderId="1" xfId="19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8" fontId="0" fillId="0" borderId="0" xfId="15" applyNumberForma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17" applyNumberFormat="1" applyFont="1" applyBorder="1" applyAlignment="1">
      <alignment horizontal="center"/>
    </xf>
    <xf numFmtId="166" fontId="0" fillId="0" borderId="4" xfId="19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66" fontId="0" fillId="0" borderId="6" xfId="19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165" fontId="0" fillId="0" borderId="8" xfId="17" applyNumberFormat="1" applyBorder="1" applyAlignment="1">
      <alignment/>
    </xf>
    <xf numFmtId="166" fontId="0" fillId="0" borderId="9" xfId="19" applyNumberFormat="1" applyBorder="1" applyAlignment="1">
      <alignment/>
    </xf>
    <xf numFmtId="0" fontId="3" fillId="0" borderId="0" xfId="0" applyFont="1" applyAlignment="1">
      <alignment/>
    </xf>
    <xf numFmtId="168" fontId="3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68" fontId="3" fillId="0" borderId="1" xfId="15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8" fontId="3" fillId="0" borderId="1" xfId="15" applyNumberFormat="1" applyFont="1" applyBorder="1" applyAlignment="1">
      <alignment/>
    </xf>
    <xf numFmtId="44" fontId="3" fillId="0" borderId="1" xfId="17" applyFont="1" applyBorder="1" applyAlignment="1">
      <alignment/>
    </xf>
    <xf numFmtId="9" fontId="3" fillId="0" borderId="1" xfId="19" applyFont="1" applyBorder="1" applyAlignment="1">
      <alignment/>
    </xf>
    <xf numFmtId="169" fontId="3" fillId="0" borderId="1" xfId="17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6" fontId="3" fillId="0" borderId="1" xfId="19" applyNumberFormat="1" applyFont="1" applyBorder="1" applyAlignment="1">
      <alignment/>
    </xf>
    <xf numFmtId="44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168" fontId="3" fillId="2" borderId="0" xfId="15" applyNumberFormat="1" applyFont="1" applyFill="1" applyAlignment="1">
      <alignment/>
    </xf>
    <xf numFmtId="168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165" fontId="3" fillId="0" borderId="1" xfId="17" applyNumberFormat="1" applyFont="1" applyBorder="1" applyAlignment="1">
      <alignment horizontal="center" wrapText="1"/>
    </xf>
    <xf numFmtId="165" fontId="3" fillId="0" borderId="1" xfId="17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8" fontId="3" fillId="0" borderId="11" xfId="15" applyNumberFormat="1" applyFont="1" applyBorder="1" applyAlignment="1">
      <alignment/>
    </xf>
    <xf numFmtId="165" fontId="3" fillId="0" borderId="11" xfId="17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0" xfId="15" applyNumberFormat="1" applyFont="1" applyBorder="1" applyAlignment="1">
      <alignment/>
    </xf>
    <xf numFmtId="165" fontId="3" fillId="0" borderId="0" xfId="17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9" fontId="3" fillId="0" borderId="6" xfId="19" applyFont="1" applyBorder="1" applyAlignment="1">
      <alignment/>
    </xf>
    <xf numFmtId="166" fontId="3" fillId="0" borderId="6" xfId="19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3" fillId="0" borderId="16" xfId="15" applyNumberFormat="1" applyFont="1" applyBorder="1" applyAlignment="1">
      <alignment/>
    </xf>
    <xf numFmtId="165" fontId="3" fillId="0" borderId="16" xfId="17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0" fontId="0" fillId="0" borderId="14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8" fontId="3" fillId="0" borderId="8" xfId="15" applyNumberFormat="1" applyFont="1" applyBorder="1" applyAlignment="1">
      <alignment/>
    </xf>
    <xf numFmtId="165" fontId="3" fillId="0" borderId="8" xfId="17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/>
    </xf>
    <xf numFmtId="168" fontId="3" fillId="0" borderId="3" xfId="15" applyNumberFormat="1" applyFont="1" applyBorder="1" applyAlignment="1">
      <alignment/>
    </xf>
    <xf numFmtId="165" fontId="3" fillId="0" borderId="3" xfId="17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168" fontId="3" fillId="0" borderId="6" xfId="15" applyNumberFormat="1" applyFont="1" applyBorder="1" applyAlignment="1">
      <alignment/>
    </xf>
    <xf numFmtId="169" fontId="3" fillId="0" borderId="6" xfId="17" applyNumberFormat="1" applyFont="1" applyBorder="1" applyAlignment="1">
      <alignment/>
    </xf>
    <xf numFmtId="165" fontId="3" fillId="0" borderId="6" xfId="17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165" fontId="8" fillId="0" borderId="1" xfId="17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8" fontId="8" fillId="0" borderId="1" xfId="15" applyNumberFormat="1" applyFont="1" applyBorder="1" applyAlignment="1">
      <alignment/>
    </xf>
    <xf numFmtId="165" fontId="8" fillId="0" borderId="1" xfId="17" applyNumberFormat="1" applyFont="1" applyBorder="1" applyAlignment="1">
      <alignment/>
    </xf>
    <xf numFmtId="44" fontId="8" fillId="0" borderId="1" xfId="17" applyFont="1" applyBorder="1" applyAlignment="1">
      <alignment/>
    </xf>
    <xf numFmtId="169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8" fontId="3" fillId="0" borderId="0" xfId="15" applyNumberFormat="1" applyFont="1" applyAlignment="1">
      <alignment horizontal="centerContinuous"/>
    </xf>
    <xf numFmtId="165" fontId="3" fillId="0" borderId="0" xfId="17" applyNumberFormat="1" applyFont="1" applyAlignment="1">
      <alignment horizontal="centerContinuous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166" fontId="8" fillId="0" borderId="8" xfId="19" applyNumberFormat="1" applyFont="1" applyBorder="1" applyAlignment="1">
      <alignment/>
    </xf>
    <xf numFmtId="166" fontId="8" fillId="0" borderId="9" xfId="19" applyNumberFormat="1" applyFont="1" applyBorder="1" applyAlignment="1">
      <alignment/>
    </xf>
    <xf numFmtId="0" fontId="2" fillId="0" borderId="0" xfId="0" applyFont="1" applyAlignment="1">
      <alignment/>
    </xf>
    <xf numFmtId="10" fontId="0" fillId="0" borderId="1" xfId="19" applyNumberFormat="1" applyBorder="1" applyAlignment="1">
      <alignment/>
    </xf>
    <xf numFmtId="9" fontId="0" fillId="0" borderId="1" xfId="19" applyBorder="1" applyAlignment="1">
      <alignment/>
    </xf>
    <xf numFmtId="165" fontId="2" fillId="0" borderId="1" xfId="17" applyNumberFormat="1" applyFont="1" applyBorder="1" applyAlignment="1">
      <alignment/>
    </xf>
    <xf numFmtId="168" fontId="0" fillId="0" borderId="1" xfId="15" applyNumberFormat="1" applyBorder="1" applyAlignment="1">
      <alignment/>
    </xf>
    <xf numFmtId="44" fontId="0" fillId="0" borderId="1" xfId="17" applyNumberFormat="1" applyBorder="1" applyAlignment="1">
      <alignment/>
    </xf>
    <xf numFmtId="44" fontId="2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172" fontId="3" fillId="0" borderId="1" xfId="17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right"/>
    </xf>
    <xf numFmtId="165" fontId="0" fillId="0" borderId="0" xfId="17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Cascade Natural Gas Therm Deliveries by Class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75"/>
          <c:w val="0.88825"/>
          <c:h val="0.76875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Residential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'Usage over time'!$A$15:$A$24</c:f>
              <c:numCache/>
            </c:numRef>
          </c:cat>
          <c:val>
            <c:numRef>
              <c:f>'Usage over time'!$B$15:$B$24</c:f>
              <c:numCache/>
            </c:numRef>
          </c:val>
        </c:ser>
        <c:axId val="34467692"/>
        <c:axId val="41773773"/>
      </c:barChart>
      <c:lineChart>
        <c:grouping val="standard"/>
        <c:varyColors val="0"/>
        <c:ser>
          <c:idx val="0"/>
          <c:order val="1"/>
          <c:tx>
            <c:v>Transportation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'Usage over time'!$A$15:$A$24</c:f>
              <c:numCache/>
            </c:numRef>
          </c:cat>
          <c:val>
            <c:numRef>
              <c:f>'Usage over time'!$D$15:$D$24</c:f>
              <c:numCache/>
            </c:numRef>
          </c:val>
          <c:smooth val="0"/>
        </c:ser>
        <c:axId val="40419638"/>
        <c:axId val="2823242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73773"/>
        <c:crosses val="autoZero"/>
        <c:auto val="0"/>
        <c:lblOffset val="100"/>
        <c:tickLblSkip val="1"/>
        <c:noMultiLvlLbl val="0"/>
      </c:cat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 Deliveries 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67692"/>
        <c:crossesAt val="1"/>
        <c:crossBetween val="between"/>
        <c:dispUnits/>
      </c:valAx>
      <c:catAx>
        <c:axId val="40419638"/>
        <c:scaling>
          <c:orientation val="minMax"/>
        </c:scaling>
        <c:axPos val="b"/>
        <c:delete val="1"/>
        <c:majorTickMark val="in"/>
        <c:minorTickMark val="none"/>
        <c:tickLblPos val="nextTo"/>
        <c:crossAx val="28232423"/>
        <c:crosses val="autoZero"/>
        <c:auto val="0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Therm Deliveries 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196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7</xdr:col>
      <xdr:colOff>552450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0" y="44196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Files\AAACurrent%20Projects\Cascade\COS%20Study\CascadeUG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cade 2006"/>
      <sheetName val="Problems with Cascade COS"/>
      <sheetName val="5-Day 3-Year"/>
      <sheetName val="Bill Frequency Data"/>
      <sheetName val="residential rate design"/>
    </sheetNames>
    <sheetDataSet>
      <sheetData sheetId="3">
        <row r="6">
          <cell r="N6">
            <v>9319126</v>
          </cell>
        </row>
        <row r="13">
          <cell r="N13">
            <v>40101886</v>
          </cell>
        </row>
        <row r="15">
          <cell r="N15">
            <v>57051506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1" sqref="B1"/>
    </sheetView>
  </sheetViews>
  <sheetFormatPr defaultColWidth="9.140625" defaultRowHeight="12.75"/>
  <cols>
    <col min="2" max="2" width="66.28125" style="108" customWidth="1"/>
    <col min="3" max="3" width="17.421875" style="0" customWidth="1"/>
  </cols>
  <sheetData>
    <row r="1" ht="12.75">
      <c r="B1" s="110"/>
    </row>
    <row r="2" ht="12.75">
      <c r="B2" s="110"/>
    </row>
    <row r="3" ht="12.75">
      <c r="B3" s="110"/>
    </row>
    <row r="4" ht="12.75">
      <c r="A4" s="99" t="s">
        <v>117</v>
      </c>
    </row>
    <row r="6" ht="12.75">
      <c r="A6" s="99" t="s">
        <v>123</v>
      </c>
    </row>
    <row r="7" ht="25.5">
      <c r="B7" s="108" t="s">
        <v>124</v>
      </c>
    </row>
    <row r="10" ht="12.75">
      <c r="A10" s="99" t="s">
        <v>118</v>
      </c>
    </row>
    <row r="11" ht="38.25">
      <c r="B11" s="108" t="s">
        <v>120</v>
      </c>
    </row>
    <row r="13" ht="12.75">
      <c r="A13" s="99" t="s">
        <v>119</v>
      </c>
    </row>
    <row r="14" ht="38.25">
      <c r="B14" s="108" t="s">
        <v>120</v>
      </c>
    </row>
    <row r="16" ht="12.75">
      <c r="A16" s="99" t="s">
        <v>40</v>
      </c>
    </row>
    <row r="17" ht="25.5">
      <c r="B17" s="108" t="s">
        <v>121</v>
      </c>
    </row>
    <row r="19" ht="12.75">
      <c r="B19" s="108" t="s">
        <v>122</v>
      </c>
    </row>
    <row r="21" ht="38.25">
      <c r="B21" s="108" t="s">
        <v>125</v>
      </c>
    </row>
    <row r="23" ht="51">
      <c r="B23" s="108" t="s">
        <v>128</v>
      </c>
    </row>
    <row r="25" ht="38.25">
      <c r="B25" s="109" t="s">
        <v>131</v>
      </c>
    </row>
    <row r="27" ht="12.75">
      <c r="A27" s="99" t="s">
        <v>126</v>
      </c>
    </row>
    <row r="28" ht="25.5">
      <c r="B28" s="109" t="s">
        <v>127</v>
      </c>
    </row>
    <row r="30" ht="12.75">
      <c r="A30" s="99" t="s">
        <v>129</v>
      </c>
    </row>
    <row r="31" ht="25.5">
      <c r="B31" s="108" t="s">
        <v>130</v>
      </c>
    </row>
    <row r="33" ht="12.75">
      <c r="A33" t="s">
        <v>132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&amp;RDocket No.UG-060256
Exhibit No. __ (JL-2)
Page 1 of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1" sqref="F1"/>
    </sheetView>
  </sheetViews>
  <sheetFormatPr defaultColWidth="9.140625" defaultRowHeight="12.75"/>
  <cols>
    <col min="1" max="1" width="27.7109375" style="0" customWidth="1"/>
    <col min="3" max="3" width="3.421875" style="0" customWidth="1"/>
    <col min="4" max="4" width="16.00390625" style="0" customWidth="1"/>
    <col min="5" max="5" width="2.421875" style="0" customWidth="1"/>
    <col min="6" max="6" width="18.8515625" style="0" customWidth="1"/>
    <col min="7" max="7" width="9.140625" style="2" customWidth="1"/>
  </cols>
  <sheetData>
    <row r="1" spans="1:6" ht="18">
      <c r="A1" s="82" t="s">
        <v>84</v>
      </c>
      <c r="F1" s="23"/>
    </row>
    <row r="2" spans="1:6" ht="18">
      <c r="A2" s="82" t="s">
        <v>85</v>
      </c>
      <c r="F2" s="23"/>
    </row>
    <row r="3" ht="12.75">
      <c r="F3" s="23"/>
    </row>
    <row r="4" ht="13.5" thickBot="1"/>
    <row r="5" spans="1:7" ht="12.75">
      <c r="A5" s="12" t="s">
        <v>1</v>
      </c>
      <c r="B5" s="13" t="s">
        <v>6</v>
      </c>
      <c r="C5" s="13"/>
      <c r="D5" s="14" t="s">
        <v>2</v>
      </c>
      <c r="E5" s="14"/>
      <c r="F5" s="14" t="s">
        <v>3</v>
      </c>
      <c r="G5" s="15" t="s">
        <v>4</v>
      </c>
    </row>
    <row r="6" spans="1:7" ht="12.75">
      <c r="A6" s="16"/>
      <c r="B6" s="3"/>
      <c r="C6" s="3"/>
      <c r="D6" s="4"/>
      <c r="E6" s="4"/>
      <c r="F6" s="4"/>
      <c r="G6" s="17"/>
    </row>
    <row r="7" spans="1:7" ht="12.75">
      <c r="A7" s="18" t="s">
        <v>5</v>
      </c>
      <c r="B7" s="3">
        <v>503</v>
      </c>
      <c r="C7" s="3"/>
      <c r="D7" s="4">
        <v>29932654</v>
      </c>
      <c r="E7" s="4"/>
      <c r="F7" s="4">
        <f>+$G$25*D7</f>
        <v>4538175.957179009</v>
      </c>
      <c r="G7" s="17">
        <f>+F7/D7</f>
        <v>0.15161288261238073</v>
      </c>
    </row>
    <row r="8" spans="1:7" ht="12.75">
      <c r="A8" s="18" t="s">
        <v>7</v>
      </c>
      <c r="B8" s="3">
        <v>502</v>
      </c>
      <c r="C8" s="3"/>
      <c r="D8" s="4">
        <v>372852</v>
      </c>
      <c r="E8" s="4"/>
      <c r="F8" s="4">
        <f aca="true" t="shared" si="0" ref="F8:F15">+$G$25*D8</f>
        <v>56529.16650779138</v>
      </c>
      <c r="G8" s="17">
        <f aca="true" t="shared" si="1" ref="G8:G15">+F8/D8</f>
        <v>0.15161288261238073</v>
      </c>
    </row>
    <row r="9" spans="1:7" ht="12.75">
      <c r="A9" s="18" t="s">
        <v>8</v>
      </c>
      <c r="B9" s="3">
        <v>541</v>
      </c>
      <c r="C9" s="3"/>
      <c r="D9" s="4">
        <v>35738</v>
      </c>
      <c r="E9" s="4"/>
      <c r="F9" s="4">
        <f t="shared" si="0"/>
        <v>5418.341198801263</v>
      </c>
      <c r="G9" s="17">
        <f t="shared" si="1"/>
        <v>0.15161288261238073</v>
      </c>
    </row>
    <row r="10" spans="1:7" ht="12.75">
      <c r="A10" s="18" t="s">
        <v>9</v>
      </c>
      <c r="B10" s="3">
        <v>504</v>
      </c>
      <c r="C10" s="3"/>
      <c r="D10" s="4">
        <v>16417848</v>
      </c>
      <c r="E10" s="4"/>
      <c r="F10" s="4">
        <f t="shared" si="0"/>
        <v>2489157.2615719098</v>
      </c>
      <c r="G10" s="17">
        <f t="shared" si="1"/>
        <v>0.15161288261238073</v>
      </c>
    </row>
    <row r="11" spans="1:7" ht="12.75">
      <c r="A11" s="18" t="s">
        <v>10</v>
      </c>
      <c r="B11" s="3">
        <v>511</v>
      </c>
      <c r="C11" s="3"/>
      <c r="D11" s="4">
        <v>1014714</v>
      </c>
      <c r="E11" s="4"/>
      <c r="F11" s="4">
        <f t="shared" si="0"/>
        <v>153843.7145671393</v>
      </c>
      <c r="G11" s="17">
        <f t="shared" si="1"/>
        <v>0.15161288261238073</v>
      </c>
    </row>
    <row r="12" spans="1:7" ht="12.75">
      <c r="A12" s="18" t="s">
        <v>11</v>
      </c>
      <c r="B12" s="3">
        <v>512</v>
      </c>
      <c r="C12" s="3"/>
      <c r="D12" s="4">
        <v>12452</v>
      </c>
      <c r="E12" s="4"/>
      <c r="F12" s="4">
        <f t="shared" si="0"/>
        <v>1887.883614289365</v>
      </c>
      <c r="G12" s="17">
        <f t="shared" si="1"/>
        <v>0.15161288261238073</v>
      </c>
    </row>
    <row r="13" spans="1:7" ht="12.75">
      <c r="A13" s="18" t="s">
        <v>12</v>
      </c>
      <c r="B13" s="3">
        <v>505</v>
      </c>
      <c r="C13" s="3"/>
      <c r="D13" s="4">
        <v>1407925</v>
      </c>
      <c r="E13" s="4"/>
      <c r="F13" s="4">
        <f t="shared" si="0"/>
        <v>213459.56775203615</v>
      </c>
      <c r="G13" s="17">
        <f t="shared" si="1"/>
        <v>0.15161288261238073</v>
      </c>
    </row>
    <row r="14" spans="1:7" ht="12.75">
      <c r="A14" s="18" t="s">
        <v>13</v>
      </c>
      <c r="B14" s="3">
        <v>570</v>
      </c>
      <c r="C14" s="3"/>
      <c r="D14" s="4">
        <v>189142</v>
      </c>
      <c r="E14" s="4"/>
      <c r="F14" s="4">
        <f t="shared" si="0"/>
        <v>28676.363843070918</v>
      </c>
      <c r="G14" s="17">
        <f t="shared" si="1"/>
        <v>0.15161288261238073</v>
      </c>
    </row>
    <row r="15" spans="1:7" ht="12.75">
      <c r="A15" s="18" t="s">
        <v>14</v>
      </c>
      <c r="B15" s="3">
        <v>577</v>
      </c>
      <c r="C15" s="3"/>
      <c r="D15" s="4">
        <v>36976</v>
      </c>
      <c r="E15" s="4"/>
      <c r="F15" s="4">
        <f t="shared" si="0"/>
        <v>5606.03794747539</v>
      </c>
      <c r="G15" s="17">
        <f t="shared" si="1"/>
        <v>0.15161288261238073</v>
      </c>
    </row>
    <row r="16" spans="1:7" ht="12.75">
      <c r="A16" s="18"/>
      <c r="B16" s="3"/>
      <c r="C16" s="3"/>
      <c r="D16" s="4"/>
      <c r="E16" s="4"/>
      <c r="F16" s="4"/>
      <c r="G16" s="17"/>
    </row>
    <row r="17" spans="1:7" ht="12.75">
      <c r="A17" s="18" t="s">
        <v>15</v>
      </c>
      <c r="B17" s="3"/>
      <c r="C17" s="3"/>
      <c r="D17" s="4">
        <f>SUM(D7:D16)</f>
        <v>49420301</v>
      </c>
      <c r="E17" s="4"/>
      <c r="F17" s="4">
        <f>SUM(F7:F16)</f>
        <v>7492754.294181524</v>
      </c>
      <c r="G17" s="17">
        <f>+F17/D17</f>
        <v>0.15161288261238076</v>
      </c>
    </row>
    <row r="18" spans="1:7" ht="12.75">
      <c r="A18" s="18"/>
      <c r="B18" s="3"/>
      <c r="C18" s="3"/>
      <c r="D18" s="4"/>
      <c r="E18" s="4"/>
      <c r="F18" s="4"/>
      <c r="G18" s="17"/>
    </row>
    <row r="19" spans="1:7" ht="12.75">
      <c r="A19" s="18" t="s">
        <v>16</v>
      </c>
      <c r="B19" s="3">
        <v>663</v>
      </c>
      <c r="C19" s="3"/>
      <c r="D19" s="4">
        <v>8619620</v>
      </c>
      <c r="E19" s="4"/>
      <c r="F19" s="4">
        <f>+$G$25*D19</f>
        <v>1306845.435223329</v>
      </c>
      <c r="G19" s="17">
        <f>+F19/D19</f>
        <v>0.15161288261238073</v>
      </c>
    </row>
    <row r="20" spans="1:7" ht="12.75">
      <c r="A20" s="18" t="s">
        <v>17</v>
      </c>
      <c r="B20" s="3">
        <v>664</v>
      </c>
      <c r="C20" s="3"/>
      <c r="D20" s="4">
        <v>5922700</v>
      </c>
      <c r="E20" s="4"/>
      <c r="F20" s="4">
        <f>+$G$25*D20</f>
        <v>897957.6198483474</v>
      </c>
      <c r="G20" s="17">
        <f>+F20/D20</f>
        <v>0.15161288261238073</v>
      </c>
    </row>
    <row r="21" spans="1:7" ht="12.75">
      <c r="A21" s="18" t="s">
        <v>18</v>
      </c>
      <c r="B21" s="3">
        <v>901</v>
      </c>
      <c r="C21" s="3"/>
      <c r="D21" s="4">
        <v>5832167</v>
      </c>
      <c r="E21" s="4"/>
      <c r="F21" s="4">
        <f>+$G$25*D21</f>
        <v>884231.6507468007</v>
      </c>
      <c r="G21" s="17">
        <f>+F21/D21</f>
        <v>0.15161288261238073</v>
      </c>
    </row>
    <row r="22" spans="1:7" ht="12.75">
      <c r="A22" s="18"/>
      <c r="B22" s="3"/>
      <c r="C22" s="3"/>
      <c r="D22" s="4"/>
      <c r="E22" s="4"/>
      <c r="F22" s="4"/>
      <c r="G22" s="17"/>
    </row>
    <row r="23" spans="1:7" ht="12.75">
      <c r="A23" s="18" t="s">
        <v>19</v>
      </c>
      <c r="B23" s="3"/>
      <c r="C23" s="3"/>
      <c r="D23" s="4">
        <f>SUM(D19:D21)</f>
        <v>20374487</v>
      </c>
      <c r="E23" s="4"/>
      <c r="F23" s="4">
        <f>SUM(F19:F21)</f>
        <v>3089034.705818477</v>
      </c>
      <c r="G23" s="17">
        <f>+F23/D23</f>
        <v>0.15161288261238073</v>
      </c>
    </row>
    <row r="24" spans="1:7" ht="12.75">
      <c r="A24" s="18"/>
      <c r="B24" s="3"/>
      <c r="C24" s="3"/>
      <c r="D24" s="4"/>
      <c r="E24" s="4"/>
      <c r="F24" s="4"/>
      <c r="G24" s="17"/>
    </row>
    <row r="25" spans="1:7" ht="13.5" thickBot="1">
      <c r="A25" s="19" t="s">
        <v>22</v>
      </c>
      <c r="B25" s="20"/>
      <c r="C25" s="20"/>
      <c r="D25" s="21">
        <f>+D23+D17</f>
        <v>69794788</v>
      </c>
      <c r="E25" s="21"/>
      <c r="F25" s="21">
        <v>10581789</v>
      </c>
      <c r="G25" s="22">
        <f>+F25/D25</f>
        <v>0.15161288261238073</v>
      </c>
    </row>
    <row r="28" spans="1:6" ht="18">
      <c r="A28" s="82" t="s">
        <v>84</v>
      </c>
      <c r="F28" s="23"/>
    </row>
    <row r="29" spans="1:6" ht="18">
      <c r="A29" s="82" t="s">
        <v>94</v>
      </c>
      <c r="F29" s="23"/>
    </row>
    <row r="30" ht="12.75">
      <c r="F30" s="23"/>
    </row>
    <row r="31" ht="13.5" thickBot="1"/>
    <row r="32" spans="1:7" ht="12.75">
      <c r="A32" s="12" t="s">
        <v>1</v>
      </c>
      <c r="B32" s="13" t="s">
        <v>6</v>
      </c>
      <c r="C32" s="13"/>
      <c r="D32" s="14" t="s">
        <v>2</v>
      </c>
      <c r="E32" s="14"/>
      <c r="F32" s="14" t="s">
        <v>3</v>
      </c>
      <c r="G32" s="15" t="s">
        <v>4</v>
      </c>
    </row>
    <row r="33" spans="1:7" ht="12.75">
      <c r="A33" s="16"/>
      <c r="B33" s="3"/>
      <c r="C33" s="3"/>
      <c r="D33" s="4"/>
      <c r="E33" s="4"/>
      <c r="F33" s="4"/>
      <c r="G33" s="17"/>
    </row>
    <row r="34" spans="1:7" ht="12.75">
      <c r="A34" s="18" t="s">
        <v>5</v>
      </c>
      <c r="B34" s="3">
        <v>503</v>
      </c>
      <c r="C34" s="3"/>
      <c r="D34" s="4">
        <v>29932654</v>
      </c>
      <c r="E34" s="4"/>
      <c r="F34" s="4">
        <f>+$G$52*D34</f>
        <v>1715466.4328230354</v>
      </c>
      <c r="G34" s="17">
        <f>+F34/D34</f>
        <v>0.05731086968843576</v>
      </c>
    </row>
    <row r="35" spans="1:7" ht="12.75">
      <c r="A35" s="18" t="s">
        <v>7</v>
      </c>
      <c r="B35" s="3">
        <v>502</v>
      </c>
      <c r="C35" s="3"/>
      <c r="D35" s="4">
        <v>372852</v>
      </c>
      <c r="E35" s="4"/>
      <c r="F35" s="4">
        <f aca="true" t="shared" si="2" ref="F35:F42">+$G$52*D35</f>
        <v>21368.47238507265</v>
      </c>
      <c r="G35" s="17">
        <f aca="true" t="shared" si="3" ref="G35:G42">+F35/D35</f>
        <v>0.05731086968843577</v>
      </c>
    </row>
    <row r="36" spans="1:7" ht="12.75">
      <c r="A36" s="18" t="s">
        <v>8</v>
      </c>
      <c r="B36" s="3">
        <v>541</v>
      </c>
      <c r="C36" s="3"/>
      <c r="D36" s="4">
        <v>35738</v>
      </c>
      <c r="E36" s="4"/>
      <c r="F36" s="4">
        <f t="shared" si="2"/>
        <v>2048.175860925317</v>
      </c>
      <c r="G36" s="17">
        <f t="shared" si="3"/>
        <v>0.05731086968843575</v>
      </c>
    </row>
    <row r="37" spans="1:7" ht="12.75">
      <c r="A37" s="18" t="s">
        <v>9</v>
      </c>
      <c r="B37" s="3">
        <v>504</v>
      </c>
      <c r="C37" s="3"/>
      <c r="D37" s="4">
        <v>16417848</v>
      </c>
      <c r="E37" s="4"/>
      <c r="F37" s="4">
        <f t="shared" si="2"/>
        <v>940921.1472925456</v>
      </c>
      <c r="G37" s="17">
        <f t="shared" si="3"/>
        <v>0.05731086968843576</v>
      </c>
    </row>
    <row r="38" spans="1:7" ht="12.75">
      <c r="A38" s="18" t="s">
        <v>10</v>
      </c>
      <c r="B38" s="3">
        <v>511</v>
      </c>
      <c r="C38" s="3"/>
      <c r="D38" s="4">
        <v>1014714</v>
      </c>
      <c r="E38" s="4"/>
      <c r="F38" s="4">
        <f t="shared" si="2"/>
        <v>58154.1418250314</v>
      </c>
      <c r="G38" s="17">
        <f t="shared" si="3"/>
        <v>0.05731086968843576</v>
      </c>
    </row>
    <row r="39" spans="1:7" ht="12.75">
      <c r="A39" s="18" t="s">
        <v>11</v>
      </c>
      <c r="B39" s="3">
        <v>512</v>
      </c>
      <c r="C39" s="3"/>
      <c r="D39" s="4">
        <v>12452</v>
      </c>
      <c r="E39" s="4"/>
      <c r="F39" s="4">
        <f t="shared" si="2"/>
        <v>713.6349493604021</v>
      </c>
      <c r="G39" s="17">
        <f t="shared" si="3"/>
        <v>0.05731086968843576</v>
      </c>
    </row>
    <row r="40" spans="1:7" ht="12.75">
      <c r="A40" s="18" t="s">
        <v>12</v>
      </c>
      <c r="B40" s="3">
        <v>505</v>
      </c>
      <c r="C40" s="3"/>
      <c r="D40" s="4">
        <v>1407925</v>
      </c>
      <c r="E40" s="4"/>
      <c r="F40" s="4">
        <f t="shared" si="2"/>
        <v>80689.40620609092</v>
      </c>
      <c r="G40" s="17">
        <f t="shared" si="3"/>
        <v>0.05731086968843576</v>
      </c>
    </row>
    <row r="41" spans="1:7" ht="12.75">
      <c r="A41" s="18" t="s">
        <v>13</v>
      </c>
      <c r="B41" s="3">
        <v>570</v>
      </c>
      <c r="C41" s="3"/>
      <c r="D41" s="4">
        <v>189142</v>
      </c>
      <c r="E41" s="4"/>
      <c r="F41" s="4">
        <f t="shared" si="2"/>
        <v>10839.892514610117</v>
      </c>
      <c r="G41" s="17">
        <f t="shared" si="3"/>
        <v>0.05731086968843577</v>
      </c>
    </row>
    <row r="42" spans="1:7" ht="12.75">
      <c r="A42" s="18" t="s">
        <v>14</v>
      </c>
      <c r="B42" s="3">
        <v>577</v>
      </c>
      <c r="C42" s="3"/>
      <c r="D42" s="4">
        <v>36976</v>
      </c>
      <c r="E42" s="4"/>
      <c r="F42" s="4">
        <f t="shared" si="2"/>
        <v>2119.126717599601</v>
      </c>
      <c r="G42" s="17">
        <f t="shared" si="3"/>
        <v>0.05731086968843577</v>
      </c>
    </row>
    <row r="43" spans="1:7" ht="12.75">
      <c r="A43" s="18"/>
      <c r="B43" s="3"/>
      <c r="C43" s="3"/>
      <c r="D43" s="4"/>
      <c r="E43" s="4"/>
      <c r="F43" s="4"/>
      <c r="G43" s="17"/>
    </row>
    <row r="44" spans="1:7" ht="12.75">
      <c r="A44" s="18" t="s">
        <v>15</v>
      </c>
      <c r="B44" s="3"/>
      <c r="C44" s="3"/>
      <c r="D44" s="4">
        <f>SUM(D34:D43)</f>
        <v>49420301</v>
      </c>
      <c r="E44" s="4"/>
      <c r="F44" s="4">
        <f>SUM(F34:F43)</f>
        <v>2832320.430574272</v>
      </c>
      <c r="G44" s="17">
        <f>+F44/D44</f>
        <v>0.05731086968843577</v>
      </c>
    </row>
    <row r="45" spans="1:7" ht="12.75">
      <c r="A45" s="18"/>
      <c r="B45" s="3"/>
      <c r="C45" s="3"/>
      <c r="D45" s="4"/>
      <c r="E45" s="4"/>
      <c r="F45" s="4"/>
      <c r="G45" s="17"/>
    </row>
    <row r="46" spans="1:7" ht="12.75">
      <c r="A46" s="18" t="s">
        <v>16</v>
      </c>
      <c r="B46" s="3">
        <v>663</v>
      </c>
      <c r="C46" s="3"/>
      <c r="D46" s="4">
        <v>8619620</v>
      </c>
      <c r="E46" s="4"/>
      <c r="F46" s="4">
        <f>+$G$52*D46</f>
        <v>493997.91858383466</v>
      </c>
      <c r="G46" s="17">
        <f>+F46/D46</f>
        <v>0.05731086968843576</v>
      </c>
    </row>
    <row r="47" spans="1:7" ht="12.75">
      <c r="A47" s="18" t="s">
        <v>17</v>
      </c>
      <c r="B47" s="3">
        <v>664</v>
      </c>
      <c r="C47" s="3"/>
      <c r="D47" s="4">
        <v>5922700</v>
      </c>
      <c r="E47" s="4"/>
      <c r="F47" s="4">
        <f>+$G$52*D47</f>
        <v>339435.0879036985</v>
      </c>
      <c r="G47" s="17">
        <f>+F47/D47</f>
        <v>0.05731086968843577</v>
      </c>
    </row>
    <row r="48" spans="1:7" ht="12.75">
      <c r="A48" s="18" t="s">
        <v>18</v>
      </c>
      <c r="B48" s="3">
        <v>901</v>
      </c>
      <c r="C48" s="3"/>
      <c r="D48" s="4">
        <v>5832167</v>
      </c>
      <c r="E48" s="4"/>
      <c r="F48" s="4">
        <f>+$G$52*D48</f>
        <v>334246.5629381953</v>
      </c>
      <c r="G48" s="17">
        <f>+F48/D48</f>
        <v>0.05731086968843576</v>
      </c>
    </row>
    <row r="49" spans="1:7" ht="12.75">
      <c r="A49" s="18"/>
      <c r="B49" s="3"/>
      <c r="C49" s="3"/>
      <c r="D49" s="4"/>
      <c r="E49" s="4"/>
      <c r="F49" s="4"/>
      <c r="G49" s="17"/>
    </row>
    <row r="50" spans="1:7" ht="12.75">
      <c r="A50" s="18" t="s">
        <v>19</v>
      </c>
      <c r="B50" s="3"/>
      <c r="C50" s="3"/>
      <c r="D50" s="4">
        <f>SUM(D46:D48)</f>
        <v>20374487</v>
      </c>
      <c r="E50" s="4"/>
      <c r="F50" s="4">
        <f>SUM(F46:F48)</f>
        <v>1167679.5694257286</v>
      </c>
      <c r="G50" s="17">
        <f>+F50/D50</f>
        <v>0.05731086968843577</v>
      </c>
    </row>
    <row r="51" spans="1:7" ht="12.75">
      <c r="A51" s="18"/>
      <c r="B51" s="3"/>
      <c r="C51" s="3"/>
      <c r="D51" s="4"/>
      <c r="E51" s="4"/>
      <c r="F51" s="4"/>
      <c r="G51" s="17"/>
    </row>
    <row r="52" spans="1:7" ht="13.5" thickBot="1">
      <c r="A52" s="19" t="s">
        <v>22</v>
      </c>
      <c r="B52" s="20"/>
      <c r="C52" s="20"/>
      <c r="D52" s="21">
        <f>+D50+D44</f>
        <v>69794788</v>
      </c>
      <c r="E52" s="21"/>
      <c r="F52" s="21">
        <v>4000000</v>
      </c>
      <c r="G52" s="22">
        <f>+F52/D52</f>
        <v>0.05731086968843576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&amp;RDocket No. UG-060256
Exhibit No. __ (JL-3)
Page   of 2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51">
      <selection activeCell="G126" sqref="G126:G128"/>
    </sheetView>
  </sheetViews>
  <sheetFormatPr defaultColWidth="9.140625" defaultRowHeight="12.75"/>
  <cols>
    <col min="1" max="2" width="9.140625" style="23" customWidth="1"/>
    <col min="3" max="3" width="12.00390625" style="24" bestFit="1" customWidth="1"/>
    <col min="4" max="4" width="9.140625" style="23" customWidth="1"/>
    <col min="5" max="5" width="12.00390625" style="41" customWidth="1"/>
    <col min="6" max="6" width="9.140625" style="23" customWidth="1"/>
    <col min="7" max="7" width="13.421875" style="41" customWidth="1"/>
    <col min="8" max="8" width="10.8515625" style="23" customWidth="1"/>
    <col min="9" max="16384" width="9.140625" style="23" customWidth="1"/>
  </cols>
  <sheetData>
    <row r="1" spans="1:8" ht="12.75">
      <c r="A1"/>
      <c r="B1"/>
      <c r="C1"/>
      <c r="D1"/>
      <c r="E1" s="1"/>
      <c r="F1"/>
      <c r="G1" s="111" t="s">
        <v>134</v>
      </c>
      <c r="H1"/>
    </row>
    <row r="2" spans="1:8" ht="12.75">
      <c r="A2"/>
      <c r="B2"/>
      <c r="C2"/>
      <c r="D2"/>
      <c r="E2" s="1"/>
      <c r="F2"/>
      <c r="G2" s="110" t="s">
        <v>135</v>
      </c>
      <c r="H2"/>
    </row>
    <row r="3" spans="1:8" ht="12.75">
      <c r="A3"/>
      <c r="B3"/>
      <c r="C3"/>
      <c r="D3"/>
      <c r="E3" s="1"/>
      <c r="F3"/>
      <c r="G3" s="110" t="s">
        <v>136</v>
      </c>
      <c r="H3"/>
    </row>
    <row r="4" spans="1:8" ht="12.75">
      <c r="A4"/>
      <c r="B4"/>
      <c r="C4"/>
      <c r="D4"/>
      <c r="E4" s="1"/>
      <c r="F4"/>
      <c r="G4" s="23"/>
      <c r="H4"/>
    </row>
    <row r="5" spans="5:7" ht="13.5" thickBot="1">
      <c r="E5" s="1"/>
      <c r="G5" s="1"/>
    </row>
    <row r="6" spans="1:8" ht="20.25">
      <c r="A6" s="44" t="s">
        <v>92</v>
      </c>
      <c r="B6" s="45"/>
      <c r="C6" s="46"/>
      <c r="D6" s="45"/>
      <c r="E6" s="47"/>
      <c r="F6" s="45"/>
      <c r="G6" s="47"/>
      <c r="H6" s="48"/>
    </row>
    <row r="7" spans="1:8" ht="20.25">
      <c r="A7" s="49"/>
      <c r="B7" s="50"/>
      <c r="C7" s="51"/>
      <c r="D7" s="50"/>
      <c r="E7" s="52"/>
      <c r="F7" s="50"/>
      <c r="G7" s="52"/>
      <c r="H7" s="53"/>
    </row>
    <row r="8" spans="1:8" ht="20.25">
      <c r="A8" s="49" t="s">
        <v>81</v>
      </c>
      <c r="B8" s="50"/>
      <c r="C8" s="51"/>
      <c r="D8" s="50"/>
      <c r="E8" s="52"/>
      <c r="F8" s="50"/>
      <c r="G8" s="52"/>
      <c r="H8" s="53"/>
    </row>
    <row r="9" spans="1:8" ht="12.75">
      <c r="A9" s="54"/>
      <c r="B9" s="50"/>
      <c r="C9" s="51"/>
      <c r="D9" s="50"/>
      <c r="E9" s="52"/>
      <c r="F9" s="50"/>
      <c r="G9" s="52"/>
      <c r="H9" s="53"/>
    </row>
    <row r="10" spans="1:8" ht="12.75">
      <c r="A10" s="55" t="s">
        <v>36</v>
      </c>
      <c r="B10" s="26"/>
      <c r="C10" s="29"/>
      <c r="D10" s="26"/>
      <c r="E10" s="43"/>
      <c r="F10" s="26"/>
      <c r="G10" s="43"/>
      <c r="H10" s="56"/>
    </row>
    <row r="11" spans="1:8" ht="12.75">
      <c r="A11" s="55" t="s">
        <v>37</v>
      </c>
      <c r="B11" s="26"/>
      <c r="C11" s="29">
        <v>881668</v>
      </c>
      <c r="D11" s="30">
        <v>4</v>
      </c>
      <c r="E11" s="43">
        <f>+D11*C11</f>
        <v>3526672</v>
      </c>
      <c r="F11" s="30">
        <v>4</v>
      </c>
      <c r="G11" s="43">
        <f>+F11*C11</f>
        <v>3526672</v>
      </c>
      <c r="H11" s="57">
        <f>+G11/E11-1</f>
        <v>0</v>
      </c>
    </row>
    <row r="12" spans="1:8" ht="12.75">
      <c r="A12" s="55" t="s">
        <v>38</v>
      </c>
      <c r="B12" s="26"/>
      <c r="C12" s="29">
        <v>845518</v>
      </c>
      <c r="D12" s="30">
        <v>4</v>
      </c>
      <c r="E12" s="43">
        <f>+D12*C12</f>
        <v>3382072</v>
      </c>
      <c r="F12" s="30">
        <v>4</v>
      </c>
      <c r="G12" s="43">
        <f>+F12*C12</f>
        <v>3382072</v>
      </c>
      <c r="H12" s="57">
        <f>+G12/E12-1</f>
        <v>0</v>
      </c>
    </row>
    <row r="13" spans="1:8" ht="12.75">
      <c r="A13" s="55"/>
      <c r="B13" s="26"/>
      <c r="C13" s="29">
        <f>+C12+C11</f>
        <v>1727186</v>
      </c>
      <c r="D13" s="26"/>
      <c r="E13" s="43"/>
      <c r="F13" s="26"/>
      <c r="G13" s="43"/>
      <c r="H13" s="56"/>
    </row>
    <row r="14" spans="1:8" ht="12.75">
      <c r="A14" s="55" t="s">
        <v>39</v>
      </c>
      <c r="B14" s="26"/>
      <c r="C14" s="29"/>
      <c r="D14" s="26"/>
      <c r="E14" s="43"/>
      <c r="F14" s="26"/>
      <c r="G14" s="43"/>
      <c r="H14" s="56"/>
    </row>
    <row r="15" spans="1:8" ht="12.75">
      <c r="A15" s="55" t="s">
        <v>40</v>
      </c>
      <c r="B15" s="26"/>
      <c r="C15" s="29">
        <v>97153392</v>
      </c>
      <c r="D15" s="32">
        <v>0.22658</v>
      </c>
      <c r="E15" s="43">
        <f>+D15*C15</f>
        <v>22013015.55936</v>
      </c>
      <c r="F15" s="33">
        <f>+G15/C15</f>
        <v>0.25745900420399115</v>
      </c>
      <c r="G15" s="43">
        <f>+G17-G12-G11</f>
        <v>25013015.55936</v>
      </c>
      <c r="H15" s="57">
        <f>+G15/E15-1</f>
        <v>0.13628300910932634</v>
      </c>
    </row>
    <row r="16" spans="1:8" ht="12.75">
      <c r="A16" s="55"/>
      <c r="B16" s="26"/>
      <c r="C16" s="29"/>
      <c r="D16" s="26"/>
      <c r="E16" s="43"/>
      <c r="F16" s="26"/>
      <c r="G16" s="43"/>
      <c r="H16" s="56"/>
    </row>
    <row r="17" spans="1:8" ht="12.75">
      <c r="A17" s="55" t="s">
        <v>21</v>
      </c>
      <c r="B17" s="26"/>
      <c r="C17" s="29"/>
      <c r="D17" s="26"/>
      <c r="E17" s="43">
        <f>SUM(E11:E16)</f>
        <v>28921759.55936</v>
      </c>
      <c r="F17" s="26"/>
      <c r="G17" s="43">
        <f>+E143+3000000</f>
        <v>31921759.55936</v>
      </c>
      <c r="H17" s="58">
        <f>+G17/E17-1</f>
        <v>0.10372812877593773</v>
      </c>
    </row>
    <row r="18" spans="1:8" ht="12.75">
      <c r="A18" s="55"/>
      <c r="B18" s="26"/>
      <c r="C18" s="29"/>
      <c r="D18" s="26"/>
      <c r="E18" s="43"/>
      <c r="F18" s="26"/>
      <c r="G18" s="43"/>
      <c r="H18" s="56"/>
    </row>
    <row r="19" spans="1:8" ht="12.75">
      <c r="A19" s="55" t="s">
        <v>42</v>
      </c>
      <c r="B19" s="26"/>
      <c r="C19" s="29">
        <f>+C15</f>
        <v>97153392</v>
      </c>
      <c r="D19" s="32">
        <v>0.91942</v>
      </c>
      <c r="E19" s="43">
        <f>+D19*C19</f>
        <v>89324771.67264</v>
      </c>
      <c r="F19" s="34">
        <f>+D19</f>
        <v>0.91942</v>
      </c>
      <c r="G19" s="43">
        <f>+F19*C19</f>
        <v>89324771.67264</v>
      </c>
      <c r="H19" s="57">
        <f>+G19/E19-1</f>
        <v>0</v>
      </c>
    </row>
    <row r="20" spans="1:8" ht="12.75">
      <c r="A20" s="55"/>
      <c r="B20" s="26"/>
      <c r="C20" s="29"/>
      <c r="D20" s="26"/>
      <c r="E20" s="43"/>
      <c r="F20" s="26"/>
      <c r="G20" s="43"/>
      <c r="H20" s="56"/>
    </row>
    <row r="21" spans="1:8" ht="12.75">
      <c r="A21" s="55" t="s">
        <v>43</v>
      </c>
      <c r="B21" s="26"/>
      <c r="C21" s="29"/>
      <c r="D21" s="26"/>
      <c r="E21" s="43">
        <f>+E19+E17</f>
        <v>118246531.232</v>
      </c>
      <c r="F21" s="26"/>
      <c r="G21" s="43">
        <f>+G19+G17</f>
        <v>121246531.232</v>
      </c>
      <c r="H21" s="58">
        <f>+G21/E21-1</f>
        <v>0.025370723087969393</v>
      </c>
    </row>
    <row r="22" spans="1:8" ht="12.75">
      <c r="A22" s="55"/>
      <c r="B22" s="26"/>
      <c r="C22" s="29"/>
      <c r="D22" s="26"/>
      <c r="E22" s="43"/>
      <c r="F22" s="26"/>
      <c r="G22" s="43"/>
      <c r="H22" s="56"/>
    </row>
    <row r="23" spans="1:8" ht="12.75">
      <c r="A23" s="55" t="s">
        <v>44</v>
      </c>
      <c r="B23" s="26"/>
      <c r="C23" s="29"/>
      <c r="D23" s="26"/>
      <c r="E23" s="43">
        <f>+'JL3 Rate Spread'!F34</f>
        <v>1715466.4328230354</v>
      </c>
      <c r="F23" s="26"/>
      <c r="G23" s="43"/>
      <c r="H23" s="56"/>
    </row>
    <row r="24" spans="1:8" ht="12.75">
      <c r="A24" s="55" t="s">
        <v>45</v>
      </c>
      <c r="B24" s="26"/>
      <c r="C24" s="29"/>
      <c r="D24" s="26"/>
      <c r="E24" s="43">
        <f>+(G12+G11)-E12-E11</f>
        <v>0</v>
      </c>
      <c r="F24" s="26"/>
      <c r="G24" s="43"/>
      <c r="H24" s="56"/>
    </row>
    <row r="25" spans="1:8" ht="12.75">
      <c r="A25" s="55" t="s">
        <v>46</v>
      </c>
      <c r="B25" s="26"/>
      <c r="C25" s="29"/>
      <c r="D25" s="26"/>
      <c r="E25" s="43">
        <f>+E23-E24</f>
        <v>1715466.4328230354</v>
      </c>
      <c r="F25" s="26"/>
      <c r="G25" s="43"/>
      <c r="H25" s="56"/>
    </row>
    <row r="26" spans="1:8" ht="12.75">
      <c r="A26" s="55" t="s">
        <v>47</v>
      </c>
      <c r="B26" s="26"/>
      <c r="C26" s="29"/>
      <c r="D26" s="26"/>
      <c r="E26" s="107">
        <f>+E25/C15</f>
        <v>0.017657298396982737</v>
      </c>
      <c r="F26" s="26"/>
      <c r="G26" s="43"/>
      <c r="H26" s="56"/>
    </row>
    <row r="27" spans="1:8" ht="12.75">
      <c r="A27" s="54"/>
      <c r="B27" s="50"/>
      <c r="C27" s="51"/>
      <c r="D27" s="50"/>
      <c r="E27" s="52"/>
      <c r="F27" s="50"/>
      <c r="G27" s="52"/>
      <c r="H27" s="53"/>
    </row>
    <row r="28" spans="1:8" ht="20.25">
      <c r="A28" s="49" t="s">
        <v>48</v>
      </c>
      <c r="B28" s="50"/>
      <c r="C28" s="51"/>
      <c r="D28" s="50"/>
      <c r="E28" s="52"/>
      <c r="F28" s="50"/>
      <c r="G28" s="52"/>
      <c r="H28" s="53"/>
    </row>
    <row r="29" spans="1:8" ht="12.75">
      <c r="A29" s="54"/>
      <c r="B29" s="50"/>
      <c r="C29" s="51"/>
      <c r="D29" s="50"/>
      <c r="E29" s="52"/>
      <c r="F29" s="50"/>
      <c r="G29" s="52"/>
      <c r="H29" s="53"/>
    </row>
    <row r="30" spans="1:8" ht="12.75">
      <c r="A30" s="55" t="s">
        <v>36</v>
      </c>
      <c r="B30" s="26"/>
      <c r="C30" s="29">
        <f>+C139</f>
        <v>1727186</v>
      </c>
      <c r="D30" s="36">
        <f>+D138</f>
        <v>4</v>
      </c>
      <c r="E30" s="43">
        <f>+D30*C30</f>
        <v>6908744</v>
      </c>
      <c r="F30" s="36">
        <f>+F138</f>
        <v>4</v>
      </c>
      <c r="G30" s="43">
        <f>+F30*C30</f>
        <v>6908744</v>
      </c>
      <c r="H30" s="53"/>
    </row>
    <row r="31" spans="1:8" ht="12.75">
      <c r="A31" s="55"/>
      <c r="B31" s="26"/>
      <c r="C31" s="29"/>
      <c r="D31" s="26"/>
      <c r="E31" s="43"/>
      <c r="F31" s="26"/>
      <c r="G31" s="43"/>
      <c r="H31" s="53"/>
    </row>
    <row r="32" spans="1:8" ht="12.75">
      <c r="A32" s="55" t="s">
        <v>49</v>
      </c>
      <c r="B32" s="26"/>
      <c r="C32" s="29">
        <f>+'[1]Bill Frequency Data'!N13</f>
        <v>40101886</v>
      </c>
      <c r="D32" s="34">
        <f>+D141</f>
        <v>0.22658</v>
      </c>
      <c r="E32" s="43">
        <f>+D32*C32</f>
        <v>9086285.329880001</v>
      </c>
      <c r="F32" s="34">
        <f>+D32</f>
        <v>0.22658</v>
      </c>
      <c r="G32" s="43">
        <f>+F32*C32</f>
        <v>9086285.329880001</v>
      </c>
      <c r="H32" s="53"/>
    </row>
    <row r="33" spans="1:8" ht="12.75">
      <c r="A33" s="55" t="s">
        <v>50</v>
      </c>
      <c r="B33" s="26"/>
      <c r="C33" s="29">
        <f>+'[1]Bill Frequency Data'!N15</f>
        <v>57051506</v>
      </c>
      <c r="D33" s="34">
        <f>+D32</f>
        <v>0.22658</v>
      </c>
      <c r="E33" s="43">
        <f>+D33*C33</f>
        <v>12926730.22948</v>
      </c>
      <c r="F33" s="32">
        <f>+G33/C33</f>
        <v>0.2791640632497939</v>
      </c>
      <c r="G33" s="43">
        <f>+G35-G32-G30</f>
        <v>15926730.229479998</v>
      </c>
      <c r="H33" s="53"/>
    </row>
    <row r="34" spans="1:8" ht="12.75">
      <c r="A34" s="55"/>
      <c r="B34" s="26"/>
      <c r="C34" s="29"/>
      <c r="D34" s="26"/>
      <c r="E34" s="43"/>
      <c r="F34" s="26"/>
      <c r="G34" s="43"/>
      <c r="H34" s="53"/>
    </row>
    <row r="35" spans="1:8" ht="12.75">
      <c r="A35" s="55" t="s">
        <v>51</v>
      </c>
      <c r="B35" s="26"/>
      <c r="C35" s="29">
        <f>+C33+C32</f>
        <v>97153392</v>
      </c>
      <c r="D35" s="26"/>
      <c r="E35" s="43">
        <f>SUM(E30:E34)</f>
        <v>28921759.55936</v>
      </c>
      <c r="F35" s="26"/>
      <c r="G35" s="43">
        <f>+G17</f>
        <v>31921759.55936</v>
      </c>
      <c r="H35" s="53"/>
    </row>
    <row r="36" spans="1:8" ht="13.5" thickBot="1">
      <c r="A36" s="59"/>
      <c r="B36" s="60"/>
      <c r="C36" s="61"/>
      <c r="D36" s="60"/>
      <c r="E36" s="62"/>
      <c r="F36" s="60"/>
      <c r="G36" s="62"/>
      <c r="H36" s="63"/>
    </row>
    <row r="37" spans="5:7" ht="12.75">
      <c r="E37" s="1"/>
      <c r="G37" s="1"/>
    </row>
    <row r="38" ht="12.75"/>
    <row r="39" ht="12.75"/>
    <row r="40" ht="12.75"/>
    <row r="41" ht="12.75"/>
    <row r="42" ht="12.75"/>
    <row r="50" ht="12.75">
      <c r="G50" s="111" t="s">
        <v>134</v>
      </c>
    </row>
    <row r="51" ht="12.75">
      <c r="G51" s="110" t="s">
        <v>135</v>
      </c>
    </row>
    <row r="52" ht="12.75">
      <c r="G52" s="110" t="s">
        <v>137</v>
      </c>
    </row>
    <row r="54" spans="1:8" ht="13.5" thickBot="1">
      <c r="A54"/>
      <c r="B54"/>
      <c r="C54"/>
      <c r="D54"/>
      <c r="E54" s="1"/>
      <c r="F54"/>
      <c r="G54" s="1"/>
      <c r="H54"/>
    </row>
    <row r="55" spans="1:8" ht="20.25">
      <c r="A55" s="44" t="s">
        <v>82</v>
      </c>
      <c r="B55" s="45"/>
      <c r="C55" s="46"/>
      <c r="D55" s="45"/>
      <c r="E55" s="47"/>
      <c r="F55" s="45"/>
      <c r="G55" s="47"/>
      <c r="H55" s="48"/>
    </row>
    <row r="56" spans="1:8" ht="20.25">
      <c r="A56" s="49"/>
      <c r="B56" s="50"/>
      <c r="C56" s="51"/>
      <c r="D56" s="50"/>
      <c r="E56" s="52"/>
      <c r="F56" s="50"/>
      <c r="G56" s="52"/>
      <c r="H56" s="53"/>
    </row>
    <row r="57" spans="1:8" ht="20.25">
      <c r="A57" s="49" t="s">
        <v>81</v>
      </c>
      <c r="B57" s="50"/>
      <c r="C57" s="51"/>
      <c r="D57" s="50"/>
      <c r="E57" s="52"/>
      <c r="F57" s="50"/>
      <c r="G57" s="52"/>
      <c r="H57" s="53"/>
    </row>
    <row r="58" spans="1:8" ht="12.75">
      <c r="A58" s="54"/>
      <c r="B58" s="50"/>
      <c r="C58" s="51"/>
      <c r="D58" s="50"/>
      <c r="E58" s="52"/>
      <c r="F58" s="50"/>
      <c r="G58" s="52"/>
      <c r="H58" s="53"/>
    </row>
    <row r="59" spans="1:8" ht="12.75">
      <c r="A59" s="55" t="s">
        <v>36</v>
      </c>
      <c r="B59" s="26"/>
      <c r="C59" s="29"/>
      <c r="D59" s="26"/>
      <c r="E59" s="43"/>
      <c r="F59" s="26"/>
      <c r="G59" s="43"/>
      <c r="H59" s="56"/>
    </row>
    <row r="60" spans="1:8" ht="12.75">
      <c r="A60" s="55" t="s">
        <v>37</v>
      </c>
      <c r="B60" s="26"/>
      <c r="C60" s="29">
        <v>881668</v>
      </c>
      <c r="D60" s="30">
        <v>4</v>
      </c>
      <c r="E60" s="43">
        <f>+D60*C60</f>
        <v>3526672</v>
      </c>
      <c r="F60" s="30">
        <v>4</v>
      </c>
      <c r="G60" s="43">
        <f>+F60*C60</f>
        <v>3526672</v>
      </c>
      <c r="H60" s="57">
        <f>+G60/E60-1</f>
        <v>0</v>
      </c>
    </row>
    <row r="61" spans="1:8" ht="12.75">
      <c r="A61" s="55" t="s">
        <v>38</v>
      </c>
      <c r="B61" s="26"/>
      <c r="C61" s="29">
        <v>845518</v>
      </c>
      <c r="D61" s="30">
        <v>4</v>
      </c>
      <c r="E61" s="43">
        <f>+D61*C61</f>
        <v>3382072</v>
      </c>
      <c r="F61" s="30">
        <v>4</v>
      </c>
      <c r="G61" s="43">
        <f>+F61*C61</f>
        <v>3382072</v>
      </c>
      <c r="H61" s="57">
        <f>+G61/E61-1</f>
        <v>0</v>
      </c>
    </row>
    <row r="62" spans="1:8" ht="12.75">
      <c r="A62" s="55"/>
      <c r="B62" s="26"/>
      <c r="C62" s="29">
        <f>+C61+C60</f>
        <v>1727186</v>
      </c>
      <c r="D62" s="26"/>
      <c r="E62" s="43"/>
      <c r="F62" s="26"/>
      <c r="G62" s="43"/>
      <c r="H62" s="56"/>
    </row>
    <row r="63" spans="1:8" ht="12.75">
      <c r="A63" s="55" t="s">
        <v>39</v>
      </c>
      <c r="B63" s="26"/>
      <c r="C63" s="29"/>
      <c r="D63" s="26"/>
      <c r="E63" s="43"/>
      <c r="F63" s="26"/>
      <c r="G63" s="43"/>
      <c r="H63" s="56"/>
    </row>
    <row r="64" spans="1:8" ht="12.75">
      <c r="A64" s="55" t="s">
        <v>40</v>
      </c>
      <c r="B64" s="26"/>
      <c r="C64" s="29">
        <v>97153392</v>
      </c>
      <c r="D64" s="32">
        <v>0.22658</v>
      </c>
      <c r="E64" s="43">
        <f>+D64*C64</f>
        <v>22013015.55936</v>
      </c>
      <c r="F64" s="33">
        <f>+G64/C64</f>
        <v>0.323820059757049</v>
      </c>
      <c r="G64" s="43">
        <f>+G143-G61-G60</f>
        <v>31460217.203040004</v>
      </c>
      <c r="H64" s="57">
        <f>+G64/E64-1</f>
        <v>0.42916435588776136</v>
      </c>
    </row>
    <row r="65" spans="1:8" ht="12.75">
      <c r="A65" s="55"/>
      <c r="B65" s="26"/>
      <c r="C65" s="29"/>
      <c r="D65" s="26"/>
      <c r="E65" s="43"/>
      <c r="F65" s="26"/>
      <c r="G65" s="43"/>
      <c r="H65" s="56"/>
    </row>
    <row r="66" spans="1:8" ht="12.75">
      <c r="A66" s="55" t="s">
        <v>21</v>
      </c>
      <c r="B66" s="26"/>
      <c r="C66" s="29"/>
      <c r="D66" s="26"/>
      <c r="E66" s="43">
        <f>SUM(E60:E65)</f>
        <v>28921759.55936</v>
      </c>
      <c r="F66" s="26"/>
      <c r="G66" s="43">
        <f>+G64+G61+G60</f>
        <v>38368961.203040004</v>
      </c>
      <c r="H66" s="58">
        <f>+G66/E66-1</f>
        <v>0.3266468495559631</v>
      </c>
    </row>
    <row r="67" spans="1:8" ht="12.75">
      <c r="A67" s="55"/>
      <c r="B67" s="26"/>
      <c r="C67" s="29"/>
      <c r="D67" s="26"/>
      <c r="E67" s="43"/>
      <c r="F67" s="26"/>
      <c r="G67" s="43"/>
      <c r="H67" s="56"/>
    </row>
    <row r="68" spans="1:8" ht="12.75">
      <c r="A68" s="55" t="s">
        <v>42</v>
      </c>
      <c r="B68" s="26"/>
      <c r="C68" s="29">
        <f>+C64</f>
        <v>97153392</v>
      </c>
      <c r="D68" s="32">
        <v>0.91942</v>
      </c>
      <c r="E68" s="43">
        <f>+D68*C68</f>
        <v>89324771.67264</v>
      </c>
      <c r="F68" s="34">
        <f>+D68</f>
        <v>0.91942</v>
      </c>
      <c r="G68" s="43">
        <f>+F68*C68</f>
        <v>89324771.67264</v>
      </c>
      <c r="H68" s="57">
        <f>+G68/E68-1</f>
        <v>0</v>
      </c>
    </row>
    <row r="69" spans="1:8" ht="12.75">
      <c r="A69" s="55"/>
      <c r="B69" s="26"/>
      <c r="C69" s="29"/>
      <c r="D69" s="26"/>
      <c r="E69" s="43"/>
      <c r="F69" s="26"/>
      <c r="G69" s="43"/>
      <c r="H69" s="56"/>
    </row>
    <row r="70" spans="1:8" ht="12.75">
      <c r="A70" s="55" t="s">
        <v>43</v>
      </c>
      <c r="B70" s="26"/>
      <c r="C70" s="29"/>
      <c r="D70" s="26"/>
      <c r="E70" s="43">
        <f>+E68+E66</f>
        <v>118246531.232</v>
      </c>
      <c r="F70" s="26"/>
      <c r="G70" s="43">
        <f>+G68+G66</f>
        <v>127693732.87568</v>
      </c>
      <c r="H70" s="58">
        <f>+G70/E70-1</f>
        <v>0.07989411228600507</v>
      </c>
    </row>
    <row r="71" spans="1:8" ht="12.75">
      <c r="A71" s="55"/>
      <c r="B71" s="26"/>
      <c r="C71" s="29"/>
      <c r="D71" s="26"/>
      <c r="E71" s="43"/>
      <c r="F71" s="26"/>
      <c r="G71" s="43"/>
      <c r="H71" s="56"/>
    </row>
    <row r="72" spans="1:8" ht="12.75">
      <c r="A72" s="55" t="s">
        <v>44</v>
      </c>
      <c r="B72" s="26"/>
      <c r="C72" s="29"/>
      <c r="D72" s="26"/>
      <c r="E72" s="43">
        <f>+'JL3 Rate Spread'!F7</f>
        <v>4538175.957179009</v>
      </c>
      <c r="F72" s="26"/>
      <c r="G72" s="43"/>
      <c r="H72" s="56"/>
    </row>
    <row r="73" spans="1:8" ht="12.75">
      <c r="A73" s="55" t="s">
        <v>45</v>
      </c>
      <c r="B73" s="26"/>
      <c r="C73" s="29"/>
      <c r="D73" s="26"/>
      <c r="E73" s="43">
        <f>+(G61+G60)-E61-E60</f>
        <v>0</v>
      </c>
      <c r="F73" s="26"/>
      <c r="G73" s="43"/>
      <c r="H73" s="56"/>
    </row>
    <row r="74" spans="1:8" ht="12.75">
      <c r="A74" s="55" t="s">
        <v>46</v>
      </c>
      <c r="B74" s="26"/>
      <c r="C74" s="29"/>
      <c r="D74" s="26"/>
      <c r="E74" s="43">
        <f>+E72-E73</f>
        <v>4538175.957179009</v>
      </c>
      <c r="F74" s="26"/>
      <c r="G74" s="43"/>
      <c r="H74" s="56"/>
    </row>
    <row r="75" spans="1:8" ht="12.75">
      <c r="A75" s="55" t="s">
        <v>47</v>
      </c>
      <c r="B75" s="26"/>
      <c r="C75" s="29"/>
      <c r="D75" s="26"/>
      <c r="E75" s="43">
        <f>+E74/C64</f>
        <v>0.04671145148672739</v>
      </c>
      <c r="F75" s="26"/>
      <c r="G75" s="43"/>
      <c r="H75" s="56"/>
    </row>
    <row r="76" spans="1:8" ht="12.75">
      <c r="A76" s="64"/>
      <c r="B76" s="65"/>
      <c r="C76" s="65"/>
      <c r="D76" s="65"/>
      <c r="E76" s="66"/>
      <c r="F76" s="65"/>
      <c r="G76" s="66"/>
      <c r="H76" s="67"/>
    </row>
    <row r="77" spans="1:8" ht="12.75">
      <c r="A77" s="64"/>
      <c r="B77" s="65"/>
      <c r="C77" s="65"/>
      <c r="D77" s="65"/>
      <c r="E77" s="66"/>
      <c r="F77" s="65"/>
      <c r="G77" s="66"/>
      <c r="H77" s="67"/>
    </row>
    <row r="78" spans="1:8" ht="20.25">
      <c r="A78" s="49" t="s">
        <v>48</v>
      </c>
      <c r="B78" s="50"/>
      <c r="C78" s="51"/>
      <c r="D78" s="50"/>
      <c r="E78" s="52"/>
      <c r="F78" s="50"/>
      <c r="G78" s="52"/>
      <c r="H78" s="67"/>
    </row>
    <row r="79" spans="1:8" ht="12.75">
      <c r="A79" s="54"/>
      <c r="B79" s="50"/>
      <c r="C79" s="51"/>
      <c r="D79" s="50"/>
      <c r="E79" s="52"/>
      <c r="F79" s="50"/>
      <c r="G79" s="52"/>
      <c r="H79" s="67"/>
    </row>
    <row r="80" spans="1:8" ht="12.75">
      <c r="A80" s="55" t="s">
        <v>36</v>
      </c>
      <c r="B80" s="26"/>
      <c r="C80" s="29">
        <f>+C62</f>
        <v>1727186</v>
      </c>
      <c r="D80" s="36">
        <f>+D137</f>
        <v>4</v>
      </c>
      <c r="E80" s="43">
        <f>+D80*C80</f>
        <v>6908744</v>
      </c>
      <c r="F80" s="36">
        <f>+D80</f>
        <v>4</v>
      </c>
      <c r="G80" s="43">
        <f>+F80*C80</f>
        <v>6908744</v>
      </c>
      <c r="H80" s="67"/>
    </row>
    <row r="81" spans="1:8" ht="12.75">
      <c r="A81" s="55"/>
      <c r="B81" s="26"/>
      <c r="C81" s="29"/>
      <c r="D81" s="26"/>
      <c r="E81" s="43"/>
      <c r="F81" s="26"/>
      <c r="G81" s="43"/>
      <c r="H81" s="67"/>
    </row>
    <row r="82" spans="1:8" ht="12.75">
      <c r="A82" s="55" t="s">
        <v>49</v>
      </c>
      <c r="B82" s="26"/>
      <c r="C82" s="29">
        <f>+C32</f>
        <v>40101886</v>
      </c>
      <c r="D82" s="34">
        <f>+D64</f>
        <v>0.22658</v>
      </c>
      <c r="E82" s="43">
        <f>+D82*C82</f>
        <v>9086285.329880001</v>
      </c>
      <c r="F82" s="34">
        <f>+D82</f>
        <v>0.22658</v>
      </c>
      <c r="G82" s="43">
        <f>+F82*C82</f>
        <v>9086285.329880001</v>
      </c>
      <c r="H82" s="67"/>
    </row>
    <row r="83" spans="1:8" ht="12.75">
      <c r="A83" s="55" t="s">
        <v>50</v>
      </c>
      <c r="B83" s="26"/>
      <c r="C83" s="29">
        <f>+C33</f>
        <v>57051506</v>
      </c>
      <c r="D83" s="34">
        <f>+D82</f>
        <v>0.22658</v>
      </c>
      <c r="E83" s="43">
        <f>+D83*C83</f>
        <v>12926730.22948</v>
      </c>
      <c r="F83" s="32">
        <f>+G83/C83</f>
        <v>0.39217074958827564</v>
      </c>
      <c r="G83" s="43">
        <f>+G85-G82-G80</f>
        <v>22373931.873160005</v>
      </c>
      <c r="H83" s="67"/>
    </row>
    <row r="84" spans="1:8" ht="12.75">
      <c r="A84" s="55"/>
      <c r="B84" s="26"/>
      <c r="C84" s="29"/>
      <c r="D84" s="26"/>
      <c r="E84" s="43"/>
      <c r="F84" s="26"/>
      <c r="G84" s="43"/>
      <c r="H84" s="67"/>
    </row>
    <row r="85" spans="1:8" ht="13.5" thickBot="1">
      <c r="A85" s="68" t="s">
        <v>21</v>
      </c>
      <c r="B85" s="69"/>
      <c r="C85" s="70">
        <f>+C83+C82</f>
        <v>97153392</v>
      </c>
      <c r="D85" s="69"/>
      <c r="E85" s="71">
        <f>SUM(E80:E84)</f>
        <v>28921759.55936</v>
      </c>
      <c r="F85" s="69"/>
      <c r="G85" s="71">
        <f>+G66</f>
        <v>38368961.203040004</v>
      </c>
      <c r="H85" s="72"/>
    </row>
    <row r="88" ht="12.75">
      <c r="G88" s="111" t="s">
        <v>134</v>
      </c>
    </row>
    <row r="89" ht="12.75">
      <c r="G89" s="110" t="s">
        <v>135</v>
      </c>
    </row>
    <row r="90" ht="12.75">
      <c r="G90" s="110" t="s">
        <v>138</v>
      </c>
    </row>
    <row r="91" ht="13.5" thickBot="1"/>
    <row r="92" spans="1:8" ht="22.5">
      <c r="A92" s="73" t="s">
        <v>52</v>
      </c>
      <c r="B92" s="74"/>
      <c r="C92" s="75"/>
      <c r="D92" s="74"/>
      <c r="E92" s="76"/>
      <c r="F92" s="74"/>
      <c r="G92" s="76"/>
      <c r="H92" s="77"/>
    </row>
    <row r="93" spans="1:8" ht="39.75">
      <c r="A93" s="78"/>
      <c r="B93" s="26"/>
      <c r="C93" s="29"/>
      <c r="D93" s="26"/>
      <c r="E93" s="43"/>
      <c r="F93" s="26"/>
      <c r="G93" s="84" t="s">
        <v>83</v>
      </c>
      <c r="H93" s="94" t="s">
        <v>93</v>
      </c>
    </row>
    <row r="94" spans="1:8" ht="12.75">
      <c r="A94" s="55"/>
      <c r="B94" s="26"/>
      <c r="C94" s="29"/>
      <c r="D94" s="26"/>
      <c r="E94" s="43"/>
      <c r="F94" s="26"/>
      <c r="G94" s="43"/>
      <c r="H94" s="56"/>
    </row>
    <row r="95" spans="1:8" ht="12.75">
      <c r="A95" s="95" t="s">
        <v>53</v>
      </c>
      <c r="B95" s="26"/>
      <c r="C95" s="29"/>
      <c r="D95" s="26"/>
      <c r="E95" s="43"/>
      <c r="F95" s="26"/>
      <c r="G95" s="29">
        <f>+C33</f>
        <v>57051506</v>
      </c>
      <c r="H95" s="79">
        <f>+G95</f>
        <v>57051506</v>
      </c>
    </row>
    <row r="96" spans="1:8" ht="12.75">
      <c r="A96" s="95" t="s">
        <v>91</v>
      </c>
      <c r="B96" s="26"/>
      <c r="C96" s="29"/>
      <c r="D96" s="26"/>
      <c r="E96" s="43"/>
      <c r="F96" s="26"/>
      <c r="G96" s="32">
        <f>+F68</f>
        <v>0.91942</v>
      </c>
      <c r="H96" s="32">
        <f>+G96</f>
        <v>0.91942</v>
      </c>
    </row>
    <row r="97" spans="1:8" ht="12.75">
      <c r="A97" s="95" t="s">
        <v>54</v>
      </c>
      <c r="B97" s="26"/>
      <c r="C97" s="29"/>
      <c r="D97" s="26"/>
      <c r="E97" s="43"/>
      <c r="F97" s="26"/>
      <c r="G97" s="32">
        <f>+F64+G96</f>
        <v>1.243240059757049</v>
      </c>
      <c r="H97" s="80">
        <f>+F15+H96</f>
        <v>1.1768790042039912</v>
      </c>
    </row>
    <row r="98" spans="1:8" ht="12.75">
      <c r="A98" s="95" t="s">
        <v>55</v>
      </c>
      <c r="B98" s="26"/>
      <c r="C98" s="29"/>
      <c r="D98" s="26"/>
      <c r="E98" s="43"/>
      <c r="F98" s="26"/>
      <c r="G98" s="32">
        <f>+F83+G96</f>
        <v>1.3115907495882757</v>
      </c>
      <c r="H98" s="80">
        <f>+F33+H96</f>
        <v>1.198584063249794</v>
      </c>
    </row>
    <row r="99" spans="1:8" ht="12.75">
      <c r="A99" s="95" t="s">
        <v>56</v>
      </c>
      <c r="B99" s="26"/>
      <c r="C99" s="29"/>
      <c r="D99" s="26"/>
      <c r="E99" s="43"/>
      <c r="F99" s="26"/>
      <c r="G99" s="31">
        <f>+G98/G97-1</f>
        <v>0.054977869555284054</v>
      </c>
      <c r="H99" s="57">
        <f>+H98/H97-1</f>
        <v>0.018442897671102187</v>
      </c>
    </row>
    <row r="100" spans="1:8" ht="12.75">
      <c r="A100" s="95" t="s">
        <v>57</v>
      </c>
      <c r="B100" s="26"/>
      <c r="C100" s="29"/>
      <c r="D100" s="26"/>
      <c r="E100" s="43"/>
      <c r="F100" s="26"/>
      <c r="G100" s="29">
        <f>-0.3*G99*G95</f>
        <v>-940971.0764401517</v>
      </c>
      <c r="H100" s="79">
        <f>-0.3*H99*H95</f>
        <v>-315658.5261420817</v>
      </c>
    </row>
    <row r="101" spans="1:8" ht="12.75">
      <c r="A101" s="95"/>
      <c r="B101" s="26"/>
      <c r="C101" s="29"/>
      <c r="D101" s="26"/>
      <c r="E101" s="43"/>
      <c r="F101" s="26"/>
      <c r="G101" s="43"/>
      <c r="H101" s="81"/>
    </row>
    <row r="102" spans="1:8" ht="12.75">
      <c r="A102" s="95"/>
      <c r="B102" s="26"/>
      <c r="C102" s="29"/>
      <c r="D102" s="26"/>
      <c r="E102" s="43"/>
      <c r="F102" s="26"/>
      <c r="G102" s="43"/>
      <c r="H102" s="81"/>
    </row>
    <row r="103" spans="1:8" ht="12.75">
      <c r="A103" s="95" t="s">
        <v>58</v>
      </c>
      <c r="B103" s="26"/>
      <c r="C103" s="29"/>
      <c r="D103" s="26"/>
      <c r="E103" s="43"/>
      <c r="F103" s="26"/>
      <c r="G103" s="29">
        <f>+'[1]Bill Frequency Data'!N6</f>
        <v>9319126</v>
      </c>
      <c r="H103" s="79">
        <f>+G103</f>
        <v>9319126</v>
      </c>
    </row>
    <row r="104" spans="1:8" ht="12.75">
      <c r="A104" s="95" t="s">
        <v>54</v>
      </c>
      <c r="B104" s="26"/>
      <c r="C104" s="29"/>
      <c r="D104" s="26"/>
      <c r="E104" s="43"/>
      <c r="F104" s="26"/>
      <c r="G104" s="32">
        <f>+G97</f>
        <v>1.243240059757049</v>
      </c>
      <c r="H104" s="80">
        <f>+H97</f>
        <v>1.1768790042039912</v>
      </c>
    </row>
    <row r="105" spans="1:8" ht="12.75">
      <c r="A105" s="95" t="s">
        <v>55</v>
      </c>
      <c r="B105" s="26"/>
      <c r="C105" s="29"/>
      <c r="D105" s="26"/>
      <c r="E105" s="43"/>
      <c r="F105" s="26"/>
      <c r="G105" s="32">
        <f>+G98</f>
        <v>1.3115907495882757</v>
      </c>
      <c r="H105" s="80">
        <f>+H98</f>
        <v>1.198584063249794</v>
      </c>
    </row>
    <row r="106" spans="1:8" ht="12.75">
      <c r="A106" s="95" t="s">
        <v>56</v>
      </c>
      <c r="B106" s="26"/>
      <c r="C106" s="29"/>
      <c r="D106" s="26"/>
      <c r="E106" s="43"/>
      <c r="F106" s="26"/>
      <c r="G106" s="31">
        <f>+G104/G105-1</f>
        <v>-0.052112817853192994</v>
      </c>
      <c r="H106" s="57">
        <f>+H104/H105-1</f>
        <v>-0.018108916772139105</v>
      </c>
    </row>
    <row r="107" spans="1:8" ht="12.75">
      <c r="A107" s="95" t="s">
        <v>57</v>
      </c>
      <c r="B107" s="26"/>
      <c r="C107" s="29"/>
      <c r="D107" s="26"/>
      <c r="E107" s="43"/>
      <c r="F107" s="26"/>
      <c r="G107" s="29">
        <f>-0.3*G106*G103</f>
        <v>145693.77473668652</v>
      </c>
      <c r="H107" s="79">
        <f>-0.3*H106*H103</f>
        <v>50627.78313692328</v>
      </c>
    </row>
    <row r="108" spans="1:8" ht="12.75">
      <c r="A108" s="95"/>
      <c r="B108" s="26"/>
      <c r="C108" s="29"/>
      <c r="D108" s="26"/>
      <c r="E108" s="43"/>
      <c r="F108" s="26"/>
      <c r="G108" s="43"/>
      <c r="H108" s="81"/>
    </row>
    <row r="109" spans="1:8" ht="12.75">
      <c r="A109" s="95" t="s">
        <v>59</v>
      </c>
      <c r="B109" s="26"/>
      <c r="C109" s="29"/>
      <c r="D109" s="26"/>
      <c r="E109" s="43"/>
      <c r="F109" s="26"/>
      <c r="G109" s="29">
        <f>+G107+G100</f>
        <v>-795277.3017034652</v>
      </c>
      <c r="H109" s="79">
        <f>+H107+H100</f>
        <v>-265030.74300515844</v>
      </c>
    </row>
    <row r="110" spans="1:8" ht="13.5" thickBot="1">
      <c r="A110" s="96" t="s">
        <v>4</v>
      </c>
      <c r="B110" s="69"/>
      <c r="C110" s="70"/>
      <c r="D110" s="69"/>
      <c r="E110" s="71"/>
      <c r="F110" s="69"/>
      <c r="G110" s="97">
        <f>+G109/C35</f>
        <v>-0.008185790380880013</v>
      </c>
      <c r="H110" s="98">
        <f>+H109/C35</f>
        <v>-0.0027279618091477285</v>
      </c>
    </row>
    <row r="126" ht="12.75">
      <c r="G126" s="111" t="s">
        <v>134</v>
      </c>
    </row>
    <row r="127" ht="12.75">
      <c r="G127" s="110" t="s">
        <v>141</v>
      </c>
    </row>
    <row r="128" ht="12.75">
      <c r="G128" s="110" t="s">
        <v>140</v>
      </c>
    </row>
    <row r="132" ht="20.25">
      <c r="A132" s="25" t="s">
        <v>28</v>
      </c>
    </row>
    <row r="134" spans="1:8" ht="25.5">
      <c r="A134" s="26" t="s">
        <v>29</v>
      </c>
      <c r="B134" s="26"/>
      <c r="C134" s="27" t="s">
        <v>30</v>
      </c>
      <c r="D134" s="28" t="s">
        <v>31</v>
      </c>
      <c r="E134" s="42" t="s">
        <v>32</v>
      </c>
      <c r="F134" s="28" t="s">
        <v>33</v>
      </c>
      <c r="G134" s="42" t="s">
        <v>34</v>
      </c>
      <c r="H134" s="28" t="s">
        <v>35</v>
      </c>
    </row>
    <row r="135" spans="1:8" ht="12.75">
      <c r="A135" s="26"/>
      <c r="B135" s="26"/>
      <c r="C135" s="29"/>
      <c r="D135" s="26"/>
      <c r="E135" s="43"/>
      <c r="F135" s="26"/>
      <c r="G135" s="43"/>
      <c r="H135" s="26"/>
    </row>
    <row r="136" spans="1:8" ht="12.75">
      <c r="A136" s="26" t="s">
        <v>36</v>
      </c>
      <c r="B136" s="26"/>
      <c r="C136" s="29"/>
      <c r="D136" s="26"/>
      <c r="E136" s="43"/>
      <c r="F136" s="26"/>
      <c r="G136" s="43"/>
      <c r="H136" s="26"/>
    </row>
    <row r="137" spans="1:8" ht="12.75">
      <c r="A137" s="26" t="s">
        <v>37</v>
      </c>
      <c r="B137" s="26"/>
      <c r="C137" s="29">
        <v>881668</v>
      </c>
      <c r="D137" s="30">
        <v>4</v>
      </c>
      <c r="E137" s="43">
        <f>+D137*C137</f>
        <v>3526672</v>
      </c>
      <c r="F137" s="30">
        <v>10</v>
      </c>
      <c r="G137" s="43">
        <f>+F137*C137</f>
        <v>8816680</v>
      </c>
      <c r="H137" s="31">
        <f>+G137/E137-1</f>
        <v>1.5</v>
      </c>
    </row>
    <row r="138" spans="1:8" ht="12.75">
      <c r="A138" s="26" t="s">
        <v>38</v>
      </c>
      <c r="B138" s="26"/>
      <c r="C138" s="29">
        <v>845518</v>
      </c>
      <c r="D138" s="30">
        <v>4</v>
      </c>
      <c r="E138" s="43">
        <f>+D138*C138</f>
        <v>3382072</v>
      </c>
      <c r="F138" s="30">
        <v>4</v>
      </c>
      <c r="G138" s="43">
        <f>+F138*C138</f>
        <v>3382072</v>
      </c>
      <c r="H138" s="31">
        <f>+G138/E138-1</f>
        <v>0</v>
      </c>
    </row>
    <row r="139" spans="1:8" ht="12.75">
      <c r="A139" s="26"/>
      <c r="B139" s="26"/>
      <c r="C139" s="29">
        <f>+C138+C137</f>
        <v>1727186</v>
      </c>
      <c r="D139" s="26"/>
      <c r="E139" s="43"/>
      <c r="F139" s="26"/>
      <c r="G139" s="43"/>
      <c r="H139" s="26"/>
    </row>
    <row r="140" spans="1:8" ht="12.75">
      <c r="A140" s="26" t="s">
        <v>39</v>
      </c>
      <c r="B140" s="26"/>
      <c r="C140" s="29"/>
      <c r="D140" s="26"/>
      <c r="E140" s="43"/>
      <c r="F140" s="26"/>
      <c r="G140" s="43"/>
      <c r="H140" s="26"/>
    </row>
    <row r="141" spans="1:8" ht="12.75">
      <c r="A141" s="26" t="s">
        <v>40</v>
      </c>
      <c r="B141" s="26"/>
      <c r="C141" s="29">
        <v>97153392</v>
      </c>
      <c r="D141" s="32">
        <v>0.22658</v>
      </c>
      <c r="E141" s="43">
        <f>+D141*C141</f>
        <v>22013015.55936</v>
      </c>
      <c r="F141" s="33">
        <v>0.26937</v>
      </c>
      <c r="G141" s="43">
        <f>+F141*C141</f>
        <v>26170209.20304</v>
      </c>
      <c r="H141" s="31">
        <f>+G141/E141-1</f>
        <v>0.18885161973695808</v>
      </c>
    </row>
    <row r="142" spans="1:8" ht="12.75">
      <c r="A142" s="26"/>
      <c r="B142" s="26"/>
      <c r="C142" s="29"/>
      <c r="D142" s="32"/>
      <c r="E142" s="43"/>
      <c r="F142" s="34"/>
      <c r="G142" s="43"/>
      <c r="H142" s="31"/>
    </row>
    <row r="143" spans="1:8" ht="12.75">
      <c r="A143" s="26" t="s">
        <v>41</v>
      </c>
      <c r="B143" s="26"/>
      <c r="C143" s="29"/>
      <c r="D143" s="26"/>
      <c r="E143" s="43">
        <f>SUM(E137:E142)</f>
        <v>28921759.55936</v>
      </c>
      <c r="F143" s="26"/>
      <c r="G143" s="43">
        <f>SUM(G137:G142)</f>
        <v>38368961.203040004</v>
      </c>
      <c r="H143" s="35">
        <f>+G143/E143-1</f>
        <v>0.3266468495559631</v>
      </c>
    </row>
    <row r="144" spans="1:8" ht="12.75">
      <c r="A144" s="26"/>
      <c r="B144" s="26"/>
      <c r="C144" s="29"/>
      <c r="D144" s="26"/>
      <c r="E144" s="43"/>
      <c r="F144" s="26"/>
      <c r="G144" s="43"/>
      <c r="H144" s="26"/>
    </row>
    <row r="145" spans="1:8" ht="12.75">
      <c r="A145" s="26" t="s">
        <v>42</v>
      </c>
      <c r="B145" s="26"/>
      <c r="C145" s="29">
        <f>+C141</f>
        <v>97153392</v>
      </c>
      <c r="D145" s="32">
        <v>0.91942</v>
      </c>
      <c r="E145" s="43">
        <f>+D145*C145</f>
        <v>89324771.67264</v>
      </c>
      <c r="F145" s="34">
        <f>+D145</f>
        <v>0.91942</v>
      </c>
      <c r="G145" s="43">
        <f>+F145*C145</f>
        <v>89324771.67264</v>
      </c>
      <c r="H145" s="31">
        <f>+G145/E145-1</f>
        <v>0</v>
      </c>
    </row>
    <row r="146" spans="1:8" ht="12.75">
      <c r="A146" s="26"/>
      <c r="B146" s="26"/>
      <c r="C146" s="29"/>
      <c r="D146" s="26"/>
      <c r="E146" s="43"/>
      <c r="F146" s="26"/>
      <c r="G146" s="43"/>
      <c r="H146" s="26"/>
    </row>
    <row r="147" spans="1:8" ht="12.75">
      <c r="A147" s="26" t="s">
        <v>43</v>
      </c>
      <c r="B147" s="26"/>
      <c r="C147" s="29"/>
      <c r="D147" s="26"/>
      <c r="E147" s="43">
        <f>+E145+E143</f>
        <v>118246531.232</v>
      </c>
      <c r="F147" s="26"/>
      <c r="G147" s="43">
        <f>+G145+G143</f>
        <v>127693732.87568</v>
      </c>
      <c r="H147" s="35">
        <f>+G147/E147-1</f>
        <v>0.07989411228600507</v>
      </c>
    </row>
    <row r="152" spans="1:7" ht="20.25">
      <c r="A152" s="90" t="s">
        <v>86</v>
      </c>
      <c r="B152" s="91"/>
      <c r="C152" s="92"/>
      <c r="D152" s="91"/>
      <c r="E152" s="93"/>
      <c r="F152" s="91"/>
      <c r="G152" s="93"/>
    </row>
    <row r="154" spans="1:7" ht="38.25">
      <c r="A154" s="83"/>
      <c r="B154" s="83"/>
      <c r="C154" s="84" t="s">
        <v>31</v>
      </c>
      <c r="D154" s="83"/>
      <c r="E154" s="85" t="s">
        <v>116</v>
      </c>
      <c r="F154" s="83"/>
      <c r="G154" s="84" t="s">
        <v>87</v>
      </c>
    </row>
    <row r="155" spans="1:7" ht="12.75">
      <c r="A155" s="83"/>
      <c r="B155" s="83"/>
      <c r="C155" s="86"/>
      <c r="D155" s="83"/>
      <c r="E155" s="87"/>
      <c r="F155" s="83"/>
      <c r="G155" s="87"/>
    </row>
    <row r="156" spans="1:7" ht="12.75">
      <c r="A156" s="83" t="s">
        <v>36</v>
      </c>
      <c r="B156" s="83"/>
      <c r="C156" s="88">
        <f>+D138</f>
        <v>4</v>
      </c>
      <c r="D156" s="83"/>
      <c r="E156" s="88">
        <f>+D12</f>
        <v>4</v>
      </c>
      <c r="F156" s="88"/>
      <c r="G156" s="88">
        <f>+F61</f>
        <v>4</v>
      </c>
    </row>
    <row r="157" spans="1:7" ht="12.75">
      <c r="A157" s="83" t="s">
        <v>88</v>
      </c>
      <c r="B157" s="83"/>
      <c r="C157" s="89">
        <f>+D141</f>
        <v>0.22658</v>
      </c>
      <c r="D157" s="89"/>
      <c r="E157" s="89">
        <f>+F15</f>
        <v>0.25745900420399115</v>
      </c>
      <c r="F157" s="83"/>
      <c r="G157" s="89">
        <f>+F64</f>
        <v>0.323820059757049</v>
      </c>
    </row>
    <row r="160" spans="1:7" ht="20.25">
      <c r="A160" s="90" t="s">
        <v>89</v>
      </c>
      <c r="B160" s="91"/>
      <c r="C160" s="92"/>
      <c r="D160" s="91"/>
      <c r="E160" s="93"/>
      <c r="F160" s="91"/>
      <c r="G160" s="93"/>
    </row>
    <row r="161" ht="20.25">
      <c r="A161" s="25"/>
    </row>
    <row r="162" spans="1:7" ht="38.25">
      <c r="A162" s="83"/>
      <c r="B162" s="83"/>
      <c r="C162" s="84" t="s">
        <v>31</v>
      </c>
      <c r="D162" s="83"/>
      <c r="E162" s="85" t="s">
        <v>116</v>
      </c>
      <c r="F162" s="83"/>
      <c r="G162" s="84" t="s">
        <v>87</v>
      </c>
    </row>
    <row r="163" spans="1:7" ht="12.75">
      <c r="A163" s="83" t="s">
        <v>36</v>
      </c>
      <c r="B163" s="83"/>
      <c r="C163" s="88">
        <f>+C156</f>
        <v>4</v>
      </c>
      <c r="D163" s="83"/>
      <c r="E163" s="88">
        <f>+D18</f>
        <v>0</v>
      </c>
      <c r="F163" s="88"/>
      <c r="G163" s="88">
        <f>+F67</f>
        <v>0</v>
      </c>
    </row>
    <row r="164" spans="1:7" ht="12.75">
      <c r="A164" s="83" t="s">
        <v>49</v>
      </c>
      <c r="B164" s="83"/>
      <c r="C164" s="89">
        <f>+C157</f>
        <v>0.22658</v>
      </c>
      <c r="D164" s="89"/>
      <c r="E164" s="89">
        <f>+F32</f>
        <v>0.22658</v>
      </c>
      <c r="F164" s="89"/>
      <c r="G164" s="89">
        <f>+F82</f>
        <v>0.22658</v>
      </c>
    </row>
    <row r="165" spans="1:7" ht="12.75">
      <c r="A165" s="83" t="s">
        <v>90</v>
      </c>
      <c r="B165" s="83"/>
      <c r="C165" s="89">
        <f>+C157</f>
        <v>0.22658</v>
      </c>
      <c r="D165" s="89"/>
      <c r="E165" s="89">
        <f>+F33</f>
        <v>0.2791640632497939</v>
      </c>
      <c r="F165" s="89"/>
      <c r="G165" s="89">
        <f>+F83</f>
        <v>0.39217074958827564</v>
      </c>
    </row>
  </sheetData>
  <printOptions/>
  <pageMargins left="0.75" right="0.75" top="1" bottom="1" header="0.5" footer="0.5"/>
  <pageSetup horizontalDpi="600" verticalDpi="600" orientation="portrait"/>
  <rowBreaks count="2" manualBreakCount="2">
    <brk id="86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6">
      <selection activeCell="C4" sqref="C4"/>
    </sheetView>
  </sheetViews>
  <sheetFormatPr defaultColWidth="9.140625" defaultRowHeight="12.75"/>
  <cols>
    <col min="1" max="1" width="43.00390625" style="0" customWidth="1"/>
    <col min="2" max="2" width="3.140625" style="0" customWidth="1"/>
    <col min="3" max="3" width="18.00390625" style="1" customWidth="1"/>
    <col min="4" max="4" width="18.8515625" style="0" customWidth="1"/>
  </cols>
  <sheetData>
    <row r="1" ht="12.75">
      <c r="D1" s="23" t="s">
        <v>134</v>
      </c>
    </row>
    <row r="2" ht="12.75">
      <c r="D2" s="23" t="s">
        <v>135</v>
      </c>
    </row>
    <row r="3" ht="12.75">
      <c r="D3" s="23" t="s">
        <v>139</v>
      </c>
    </row>
    <row r="5" ht="15.75">
      <c r="A5" s="106" t="s">
        <v>95</v>
      </c>
    </row>
    <row r="7" spans="1:4" ht="12.75">
      <c r="A7" s="6" t="s">
        <v>96</v>
      </c>
      <c r="B7" s="3"/>
      <c r="C7" s="4"/>
      <c r="D7" s="3"/>
    </row>
    <row r="8" spans="1:4" ht="12.75">
      <c r="A8" s="3" t="s">
        <v>98</v>
      </c>
      <c r="B8" s="3"/>
      <c r="C8" s="4">
        <v>16976350</v>
      </c>
      <c r="D8" s="3" t="s">
        <v>110</v>
      </c>
    </row>
    <row r="9" spans="1:4" ht="12.75">
      <c r="A9" s="3" t="s">
        <v>99</v>
      </c>
      <c r="B9" s="3"/>
      <c r="C9" s="4">
        <v>9111507</v>
      </c>
      <c r="D9" s="3" t="s">
        <v>110</v>
      </c>
    </row>
    <row r="10" spans="1:4" ht="12.75">
      <c r="A10" s="3"/>
      <c r="B10" s="3"/>
      <c r="C10" s="4"/>
      <c r="D10" s="3"/>
    </row>
    <row r="11" spans="1:4" ht="12.75">
      <c r="A11" s="6" t="s">
        <v>97</v>
      </c>
      <c r="B11" s="3"/>
      <c r="C11" s="4"/>
      <c r="D11" s="3"/>
    </row>
    <row r="12" spans="1:4" ht="12.75">
      <c r="A12" s="3" t="s">
        <v>98</v>
      </c>
      <c r="B12" s="3"/>
      <c r="C12" s="4">
        <v>-4822069</v>
      </c>
      <c r="D12" s="3" t="s">
        <v>110</v>
      </c>
    </row>
    <row r="13" spans="1:4" ht="12.75">
      <c r="A13" s="3" t="s">
        <v>99</v>
      </c>
      <c r="B13" s="3"/>
      <c r="C13" s="4">
        <v>-2473104</v>
      </c>
      <c r="D13" s="3" t="s">
        <v>110</v>
      </c>
    </row>
    <row r="14" spans="1:4" ht="12.75">
      <c r="A14" s="3"/>
      <c r="B14" s="3"/>
      <c r="C14" s="4"/>
      <c r="D14" s="3"/>
    </row>
    <row r="15" spans="1:4" ht="12.75">
      <c r="A15" s="3" t="s">
        <v>100</v>
      </c>
      <c r="B15" s="3"/>
      <c r="C15" s="4">
        <f>SUM(C8:C14)</f>
        <v>18792684</v>
      </c>
      <c r="D15" s="3"/>
    </row>
    <row r="16" spans="1:4" ht="12.75">
      <c r="A16" s="3"/>
      <c r="B16" s="3"/>
      <c r="C16" s="4"/>
      <c r="D16" s="3"/>
    </row>
    <row r="17" spans="1:4" ht="12.75">
      <c r="A17" s="3" t="s">
        <v>101</v>
      </c>
      <c r="B17" s="3"/>
      <c r="C17" s="100">
        <v>0.0661</v>
      </c>
      <c r="D17" s="3"/>
    </row>
    <row r="18" spans="1:4" ht="12.75">
      <c r="A18" s="3" t="s">
        <v>102</v>
      </c>
      <c r="B18" s="3"/>
      <c r="C18" s="101">
        <v>0.6218</v>
      </c>
      <c r="D18" s="3" t="s">
        <v>103</v>
      </c>
    </row>
    <row r="19" spans="1:4" ht="12.75">
      <c r="A19" s="3"/>
      <c r="B19" s="3"/>
      <c r="C19" s="4"/>
      <c r="D19" s="3"/>
    </row>
    <row r="20" spans="1:4" ht="12.75">
      <c r="A20" s="3" t="s">
        <v>104</v>
      </c>
      <c r="B20" s="3"/>
      <c r="C20" s="4">
        <f>+C17*C15/C18</f>
        <v>1997742.7024766805</v>
      </c>
      <c r="D20" s="3"/>
    </row>
    <row r="21" spans="1:4" ht="12.75">
      <c r="A21" s="3" t="s">
        <v>105</v>
      </c>
      <c r="B21" s="3"/>
      <c r="C21" s="4">
        <f>281130+241089</f>
        <v>522219</v>
      </c>
      <c r="D21" s="3" t="s">
        <v>110</v>
      </c>
    </row>
    <row r="22" spans="1:4" ht="12.75">
      <c r="A22" s="3"/>
      <c r="B22" s="3"/>
      <c r="C22" s="4"/>
      <c r="D22" s="3"/>
    </row>
    <row r="23" spans="1:4" ht="12.75">
      <c r="A23" s="6" t="s">
        <v>106</v>
      </c>
      <c r="B23" s="6"/>
      <c r="C23" s="102">
        <f>SUM(C20:C22)</f>
        <v>2519961.7024766803</v>
      </c>
      <c r="D23" s="3"/>
    </row>
    <row r="24" spans="1:4" ht="12.75">
      <c r="A24" s="3"/>
      <c r="B24" s="3"/>
      <c r="C24" s="4"/>
      <c r="D24" s="3"/>
    </row>
    <row r="25" spans="1:4" ht="12.75">
      <c r="A25" s="3" t="s">
        <v>107</v>
      </c>
      <c r="B25" s="3"/>
      <c r="C25" s="103">
        <f>+'JL4 Res Rate Design'!C80/12</f>
        <v>143932.16666666666</v>
      </c>
      <c r="D25" s="3"/>
    </row>
    <row r="26" spans="1:4" ht="12.75">
      <c r="A26" s="3"/>
      <c r="B26" s="3"/>
      <c r="C26" s="4"/>
      <c r="D26" s="3"/>
    </row>
    <row r="27" spans="1:4" ht="12.75">
      <c r="A27" s="3" t="s">
        <v>108</v>
      </c>
      <c r="B27" s="3"/>
      <c r="C27" s="104">
        <f>+C23/C25</f>
        <v>17.507981439011296</v>
      </c>
      <c r="D27" s="3"/>
    </row>
    <row r="28" spans="1:4" ht="12.75">
      <c r="A28" s="3"/>
      <c r="B28" s="3"/>
      <c r="C28" s="4"/>
      <c r="D28" s="3"/>
    </row>
    <row r="29" spans="1:4" ht="12.75">
      <c r="A29" s="3" t="s">
        <v>109</v>
      </c>
      <c r="B29" s="3"/>
      <c r="C29" s="104">
        <v>18.61</v>
      </c>
      <c r="D29" s="3" t="s">
        <v>113</v>
      </c>
    </row>
    <row r="30" spans="1:4" ht="12.75">
      <c r="A30" s="3"/>
      <c r="B30" s="3"/>
      <c r="C30" s="4"/>
      <c r="D30" s="3"/>
    </row>
    <row r="31" spans="1:4" ht="12.75">
      <c r="A31" s="3" t="s">
        <v>111</v>
      </c>
      <c r="B31" s="3"/>
      <c r="C31" s="104">
        <f>+C29+C27</f>
        <v>36.117981439011295</v>
      </c>
      <c r="D31" s="3"/>
    </row>
    <row r="32" spans="1:4" ht="12.75">
      <c r="A32" s="3"/>
      <c r="B32" s="3"/>
      <c r="C32" s="4"/>
      <c r="D32" s="3"/>
    </row>
    <row r="33" spans="1:4" ht="12.75">
      <c r="A33" s="6" t="s">
        <v>112</v>
      </c>
      <c r="B33" s="6"/>
      <c r="C33" s="105">
        <f>+C31/12</f>
        <v>3.0098317865842747</v>
      </c>
      <c r="D33" s="3"/>
    </row>
    <row r="34" spans="1:4" ht="12.75">
      <c r="A34" s="3"/>
      <c r="B34" s="3"/>
      <c r="C34" s="4"/>
      <c r="D34" s="3"/>
    </row>
    <row r="35" spans="1:4" ht="12.75">
      <c r="A35" s="3" t="s">
        <v>115</v>
      </c>
      <c r="B35" s="3"/>
      <c r="C35" s="104">
        <v>4</v>
      </c>
      <c r="D35" s="3"/>
    </row>
    <row r="38" ht="12.75">
      <c r="A38" t="s">
        <v>114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31">
      <selection activeCell="F1" sqref="F1:F3"/>
    </sheetView>
  </sheetViews>
  <sheetFormatPr defaultColWidth="9.140625" defaultRowHeight="12.75"/>
  <cols>
    <col min="1" max="1" width="27.7109375" style="0" customWidth="1"/>
    <col min="2" max="2" width="9.57421875" style="0" customWidth="1"/>
    <col min="3" max="3" width="3.00390625" style="0" customWidth="1"/>
    <col min="4" max="4" width="19.57421875" style="1" customWidth="1"/>
    <col min="5" max="5" width="1.7109375" style="1" customWidth="1"/>
    <col min="6" max="6" width="17.8515625" style="1" bestFit="1" customWidth="1"/>
    <col min="7" max="7" width="2.00390625" style="0" customWidth="1"/>
    <col min="8" max="8" width="9.140625" style="2" customWidth="1"/>
  </cols>
  <sheetData>
    <row r="1" spans="1:6" ht="12.75">
      <c r="A1" t="s">
        <v>0</v>
      </c>
      <c r="F1" s="111" t="s">
        <v>134</v>
      </c>
    </row>
    <row r="2" ht="12.75">
      <c r="F2" s="110" t="s">
        <v>141</v>
      </c>
    </row>
    <row r="3" ht="12.75">
      <c r="F3" s="110" t="s">
        <v>137</v>
      </c>
    </row>
    <row r="5" spans="1:8" ht="12.75">
      <c r="A5" s="7" t="s">
        <v>1</v>
      </c>
      <c r="B5" s="7" t="s">
        <v>6</v>
      </c>
      <c r="C5" s="7"/>
      <c r="D5" s="8" t="s">
        <v>2</v>
      </c>
      <c r="E5" s="8"/>
      <c r="F5" s="8" t="s">
        <v>3</v>
      </c>
      <c r="G5" s="7"/>
      <c r="H5" s="9" t="s">
        <v>4</v>
      </c>
    </row>
    <row r="6" spans="1:8" ht="12.75">
      <c r="A6" s="3"/>
      <c r="B6" s="3"/>
      <c r="C6" s="3"/>
      <c r="D6" s="4"/>
      <c r="E6" s="4"/>
      <c r="F6" s="4"/>
      <c r="G6" s="3"/>
      <c r="H6" s="5"/>
    </row>
    <row r="7" spans="1:8" ht="12.75">
      <c r="A7" s="6" t="s">
        <v>5</v>
      </c>
      <c r="B7" s="3">
        <v>503</v>
      </c>
      <c r="C7" s="3"/>
      <c r="D7" s="4">
        <v>29932654</v>
      </c>
      <c r="E7" s="4"/>
      <c r="F7" s="4">
        <v>9729088</v>
      </c>
      <c r="G7" s="3"/>
      <c r="H7" s="5">
        <f>+F7/D7</f>
        <v>0.3250325881560653</v>
      </c>
    </row>
    <row r="8" spans="1:8" ht="12.75">
      <c r="A8" s="6" t="s">
        <v>7</v>
      </c>
      <c r="B8" s="3">
        <v>502</v>
      </c>
      <c r="C8" s="3"/>
      <c r="D8" s="4">
        <v>372852</v>
      </c>
      <c r="E8" s="4"/>
      <c r="F8" s="4">
        <v>-56857</v>
      </c>
      <c r="G8" s="3"/>
      <c r="H8" s="5">
        <f aca="true" t="shared" si="0" ref="H8:H15">+F8/D8</f>
        <v>-0.15249214165406114</v>
      </c>
    </row>
    <row r="9" spans="1:8" ht="12.75">
      <c r="A9" s="6" t="s">
        <v>8</v>
      </c>
      <c r="B9" s="3">
        <v>541</v>
      </c>
      <c r="C9" s="3"/>
      <c r="D9" s="4">
        <v>35738</v>
      </c>
      <c r="E9" s="4"/>
      <c r="F9" s="4">
        <v>15509</v>
      </c>
      <c r="G9" s="3"/>
      <c r="H9" s="5">
        <f t="shared" si="0"/>
        <v>0.4339638480049247</v>
      </c>
    </row>
    <row r="10" spans="1:8" ht="12.75">
      <c r="A10" s="6" t="s">
        <v>9</v>
      </c>
      <c r="B10" s="3">
        <v>504</v>
      </c>
      <c r="C10" s="3"/>
      <c r="D10" s="4">
        <v>16417848</v>
      </c>
      <c r="E10" s="4"/>
      <c r="F10" s="4">
        <v>3183697</v>
      </c>
      <c r="G10" s="3"/>
      <c r="H10" s="5">
        <f t="shared" si="0"/>
        <v>0.19391682758909695</v>
      </c>
    </row>
    <row r="11" spans="1:8" ht="12.75">
      <c r="A11" s="6" t="s">
        <v>10</v>
      </c>
      <c r="B11" s="3">
        <v>511</v>
      </c>
      <c r="C11" s="3"/>
      <c r="D11" s="4">
        <v>1014714</v>
      </c>
      <c r="E11" s="4"/>
      <c r="F11" s="4">
        <v>-499084</v>
      </c>
      <c r="G11" s="3"/>
      <c r="H11" s="5">
        <f t="shared" si="0"/>
        <v>-0.4918469637750144</v>
      </c>
    </row>
    <row r="12" spans="1:8" ht="12.75">
      <c r="A12" s="6" t="s">
        <v>11</v>
      </c>
      <c r="B12" s="3">
        <v>512</v>
      </c>
      <c r="C12" s="3"/>
      <c r="D12" s="4">
        <v>12452</v>
      </c>
      <c r="E12" s="4"/>
      <c r="F12" s="4">
        <v>-13581</v>
      </c>
      <c r="G12" s="3"/>
      <c r="H12" s="5">
        <f t="shared" si="0"/>
        <v>-1.090668165756505</v>
      </c>
    </row>
    <row r="13" spans="1:8" ht="12.75">
      <c r="A13" s="6" t="s">
        <v>12</v>
      </c>
      <c r="B13" s="3">
        <v>505</v>
      </c>
      <c r="C13" s="3"/>
      <c r="D13" s="4">
        <v>1407925</v>
      </c>
      <c r="E13" s="4"/>
      <c r="F13" s="4">
        <v>472681</v>
      </c>
      <c r="G13" s="3"/>
      <c r="H13" s="5">
        <f t="shared" si="0"/>
        <v>0.335728820782357</v>
      </c>
    </row>
    <row r="14" spans="1:8" ht="12.75">
      <c r="A14" s="6" t="s">
        <v>13</v>
      </c>
      <c r="B14" s="3">
        <v>570</v>
      </c>
      <c r="C14" s="3"/>
      <c r="D14" s="4">
        <v>189142</v>
      </c>
      <c r="E14" s="4"/>
      <c r="F14" s="4">
        <v>-31492</v>
      </c>
      <c r="G14" s="3"/>
      <c r="H14" s="5">
        <f t="shared" si="0"/>
        <v>-0.16649924395427773</v>
      </c>
    </row>
    <row r="15" spans="1:8" ht="12.75">
      <c r="A15" s="6" t="s">
        <v>14</v>
      </c>
      <c r="B15" s="3">
        <v>577</v>
      </c>
      <c r="C15" s="3"/>
      <c r="D15" s="4">
        <v>36976</v>
      </c>
      <c r="E15" s="4"/>
      <c r="F15" s="4">
        <v>-13272</v>
      </c>
      <c r="G15" s="3"/>
      <c r="H15" s="5">
        <f t="shared" si="0"/>
        <v>-0.3589355257464301</v>
      </c>
    </row>
    <row r="16" spans="1:8" ht="12.75">
      <c r="A16" s="6"/>
      <c r="B16" s="3"/>
      <c r="C16" s="3"/>
      <c r="D16" s="4"/>
      <c r="E16" s="4"/>
      <c r="F16" s="4"/>
      <c r="G16" s="3"/>
      <c r="H16" s="5"/>
    </row>
    <row r="17" spans="1:8" ht="12.75">
      <c r="A17" s="6" t="s">
        <v>15</v>
      </c>
      <c r="B17" s="3"/>
      <c r="C17" s="3"/>
      <c r="D17" s="4">
        <f>SUM(D7:D16)</f>
        <v>49420301</v>
      </c>
      <c r="E17" s="4"/>
      <c r="F17" s="4">
        <f>SUM(F7:F16)</f>
        <v>12786689</v>
      </c>
      <c r="G17" s="3"/>
      <c r="H17" s="5">
        <f>+F17/D17</f>
        <v>0.2587335313882447</v>
      </c>
    </row>
    <row r="18" spans="1:8" ht="12.75">
      <c r="A18" s="6"/>
      <c r="B18" s="3"/>
      <c r="C18" s="3"/>
      <c r="D18" s="4"/>
      <c r="E18" s="4"/>
      <c r="F18" s="4"/>
      <c r="G18" s="3"/>
      <c r="H18" s="5"/>
    </row>
    <row r="19" spans="1:8" ht="12.75">
      <c r="A19" s="6" t="s">
        <v>16</v>
      </c>
      <c r="B19" s="3">
        <v>663</v>
      </c>
      <c r="C19" s="3"/>
      <c r="D19" s="4">
        <v>8619620</v>
      </c>
      <c r="E19" s="4"/>
      <c r="F19" s="4">
        <v>-3839428</v>
      </c>
      <c r="G19" s="3"/>
      <c r="H19" s="5">
        <f>+F19/D19</f>
        <v>-0.445428916819999</v>
      </c>
    </row>
    <row r="20" spans="1:8" ht="12.75">
      <c r="A20" s="6" t="s">
        <v>17</v>
      </c>
      <c r="B20" s="3">
        <v>664</v>
      </c>
      <c r="C20" s="3"/>
      <c r="D20" s="4">
        <v>5922700</v>
      </c>
      <c r="E20" s="4"/>
      <c r="F20" s="4">
        <v>1634528</v>
      </c>
      <c r="G20" s="3"/>
      <c r="H20" s="5">
        <f>+F20/D20</f>
        <v>0.275976834889493</v>
      </c>
    </row>
    <row r="21" spans="1:8" ht="12.75">
      <c r="A21" s="6" t="s">
        <v>18</v>
      </c>
      <c r="B21" s="3">
        <v>901</v>
      </c>
      <c r="C21" s="3"/>
      <c r="D21" s="4">
        <v>5832167</v>
      </c>
      <c r="E21" s="4"/>
      <c r="F21" s="4">
        <v>0</v>
      </c>
      <c r="G21" s="3"/>
      <c r="H21" s="5">
        <f>+F21/D21</f>
        <v>0</v>
      </c>
    </row>
    <row r="22" spans="1:8" ht="12.75">
      <c r="A22" s="6"/>
      <c r="B22" s="3"/>
      <c r="C22" s="3"/>
      <c r="D22" s="4"/>
      <c r="E22" s="4"/>
      <c r="F22" s="4"/>
      <c r="G22" s="3"/>
      <c r="H22" s="5"/>
    </row>
    <row r="23" spans="1:8" ht="12.75">
      <c r="A23" s="6" t="s">
        <v>19</v>
      </c>
      <c r="B23" s="3"/>
      <c r="C23" s="3"/>
      <c r="D23" s="4">
        <f>SUM(D19:D21)</f>
        <v>20374487</v>
      </c>
      <c r="E23" s="4"/>
      <c r="F23" s="4">
        <f>SUM(F19:F21)</f>
        <v>-2204900</v>
      </c>
      <c r="G23" s="3"/>
      <c r="H23" s="5">
        <f>+F23/D23</f>
        <v>-0.10821867564076583</v>
      </c>
    </row>
    <row r="24" spans="1:8" ht="12.75">
      <c r="A24" s="6"/>
      <c r="B24" s="3"/>
      <c r="C24" s="3"/>
      <c r="D24" s="4"/>
      <c r="E24" s="4"/>
      <c r="F24" s="4"/>
      <c r="G24" s="3"/>
      <c r="H24" s="5"/>
    </row>
    <row r="25" spans="1:8" ht="12.75">
      <c r="A25" s="6" t="s">
        <v>22</v>
      </c>
      <c r="B25" s="3"/>
      <c r="C25" s="3"/>
      <c r="D25" s="4">
        <f>+D23+D17</f>
        <v>69794788</v>
      </c>
      <c r="E25" s="4"/>
      <c r="F25" s="4">
        <f>+F23+F17</f>
        <v>10581789</v>
      </c>
      <c r="G25" s="3"/>
      <c r="H25" s="5">
        <f>+F25/D25</f>
        <v>0.15161288261238073</v>
      </c>
    </row>
    <row r="26" spans="1:8" ht="12.75">
      <c r="A26" s="6"/>
      <c r="B26" s="3"/>
      <c r="C26" s="3"/>
      <c r="D26" s="4"/>
      <c r="E26" s="4"/>
      <c r="F26" s="4"/>
      <c r="G26" s="3"/>
      <c r="H26" s="5"/>
    </row>
    <row r="27" spans="1:8" ht="12.75">
      <c r="A27" s="6" t="s">
        <v>20</v>
      </c>
      <c r="B27" s="3"/>
      <c r="C27" s="3"/>
      <c r="D27" s="4">
        <v>9760691</v>
      </c>
      <c r="E27" s="4"/>
      <c r="F27" s="4">
        <v>1130612</v>
      </c>
      <c r="G27" s="3"/>
      <c r="H27" s="5">
        <f>+F27/D27</f>
        <v>0.11583319254753582</v>
      </c>
    </row>
    <row r="28" spans="1:8" ht="12.75">
      <c r="A28" s="6"/>
      <c r="B28" s="3"/>
      <c r="C28" s="3"/>
      <c r="D28" s="4"/>
      <c r="E28" s="4"/>
      <c r="F28" s="4"/>
      <c r="G28" s="3"/>
      <c r="H28" s="5"/>
    </row>
    <row r="29" spans="1:8" ht="12.75">
      <c r="A29" s="6" t="s">
        <v>21</v>
      </c>
      <c r="B29" s="3"/>
      <c r="C29" s="3"/>
      <c r="D29" s="4">
        <f>+D27+D25</f>
        <v>79555479</v>
      </c>
      <c r="E29" s="4"/>
      <c r="F29" s="4">
        <f>+F27+F25</f>
        <v>11712401</v>
      </c>
      <c r="G29" s="3"/>
      <c r="H29" s="5">
        <f>+F29/D29</f>
        <v>0.14722305926911708</v>
      </c>
    </row>
    <row r="31" ht="12.75">
      <c r="A31" t="s">
        <v>23</v>
      </c>
    </row>
    <row r="32" ht="12.75">
      <c r="A32" s="10" t="s">
        <v>133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C1">
      <selection activeCell="N1" sqref="N1:N3"/>
    </sheetView>
  </sheetViews>
  <sheetFormatPr defaultColWidth="9.140625" defaultRowHeight="12.75"/>
  <cols>
    <col min="1" max="1" width="35.57421875" style="23" customWidth="1"/>
    <col min="2" max="3" width="10.8515625" style="23" customWidth="1"/>
    <col min="4" max="4" width="11.8515625" style="23" customWidth="1"/>
    <col min="5" max="5" width="12.140625" style="23" customWidth="1"/>
    <col min="6" max="6" width="11.8515625" style="23" customWidth="1"/>
    <col min="7" max="7" width="12.28125" style="23" customWidth="1"/>
    <col min="8" max="13" width="10.8515625" style="23" customWidth="1"/>
    <col min="14" max="14" width="12.57421875" style="23" customWidth="1"/>
    <col min="15" max="16384" width="9.140625" style="23" customWidth="1"/>
  </cols>
  <sheetData>
    <row r="1" ht="12.75">
      <c r="N1" s="111" t="s">
        <v>134</v>
      </c>
    </row>
    <row r="2" ht="12.75">
      <c r="N2" s="110" t="s">
        <v>141</v>
      </c>
    </row>
    <row r="3" ht="12.75">
      <c r="N3" s="110" t="s">
        <v>138</v>
      </c>
    </row>
    <row r="5" ht="12.75">
      <c r="A5" s="23" t="s">
        <v>60</v>
      </c>
    </row>
    <row r="7" spans="2:14" s="37" customFormat="1" ht="12.75">
      <c r="B7" s="37" t="s">
        <v>61</v>
      </c>
      <c r="C7" s="37" t="s">
        <v>62</v>
      </c>
      <c r="D7" s="37" t="s">
        <v>63</v>
      </c>
      <c r="E7" s="37" t="s">
        <v>64</v>
      </c>
      <c r="F7" s="37" t="s">
        <v>65</v>
      </c>
      <c r="G7" s="37" t="s">
        <v>66</v>
      </c>
      <c r="H7" s="37" t="s">
        <v>67</v>
      </c>
      <c r="I7" s="37" t="s">
        <v>68</v>
      </c>
      <c r="J7" s="37" t="s">
        <v>69</v>
      </c>
      <c r="K7" s="37" t="s">
        <v>70</v>
      </c>
      <c r="L7" s="37" t="s">
        <v>71</v>
      </c>
      <c r="M7" s="37" t="s">
        <v>72</v>
      </c>
      <c r="N7" s="37" t="s">
        <v>21</v>
      </c>
    </row>
    <row r="9" spans="1:14" ht="12.75">
      <c r="A9" s="23" t="s">
        <v>73</v>
      </c>
      <c r="B9" s="24">
        <v>76873</v>
      </c>
      <c r="C9" s="24">
        <v>24126</v>
      </c>
      <c r="D9" s="24">
        <v>10022</v>
      </c>
      <c r="E9" s="24">
        <v>6113</v>
      </c>
      <c r="F9" s="24">
        <v>10052</v>
      </c>
      <c r="G9" s="24">
        <v>12726</v>
      </c>
      <c r="H9" s="24">
        <v>21206</v>
      </c>
      <c r="I9" s="24">
        <v>68155</v>
      </c>
      <c r="J9" s="24">
        <v>96666</v>
      </c>
      <c r="K9" s="24">
        <v>121481</v>
      </c>
      <c r="L9" s="24">
        <v>130676</v>
      </c>
      <c r="M9" s="24">
        <v>122998</v>
      </c>
      <c r="N9" s="24">
        <f>SUM(B9:M9)</f>
        <v>701094</v>
      </c>
    </row>
    <row r="10" spans="1:14" ht="12.75">
      <c r="A10" s="23" t="s">
        <v>74</v>
      </c>
      <c r="B10" s="24">
        <v>198639</v>
      </c>
      <c r="C10" s="24">
        <v>419635</v>
      </c>
      <c r="D10" s="24">
        <v>150770</v>
      </c>
      <c r="E10" s="24">
        <v>97914</v>
      </c>
      <c r="F10" s="24">
        <v>150726</v>
      </c>
      <c r="G10" s="24">
        <v>201658</v>
      </c>
      <c r="H10" s="24">
        <v>364900</v>
      </c>
      <c r="I10" s="24">
        <v>1203498</v>
      </c>
      <c r="J10" s="24">
        <v>1508306</v>
      </c>
      <c r="K10" s="24">
        <v>1691615</v>
      </c>
      <c r="L10" s="24">
        <v>1651365</v>
      </c>
      <c r="M10" s="24">
        <v>1680100</v>
      </c>
      <c r="N10" s="24">
        <f>SUM(B10:M10)</f>
        <v>9319126</v>
      </c>
    </row>
    <row r="11" spans="2:14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2.75">
      <c r="A12" s="23" t="s">
        <v>75</v>
      </c>
      <c r="B12" s="24">
        <v>139117</v>
      </c>
      <c r="C12" s="24">
        <v>140730</v>
      </c>
      <c r="D12" s="24">
        <v>143453</v>
      </c>
      <c r="E12" s="24">
        <v>145010</v>
      </c>
      <c r="F12" s="24">
        <v>145673</v>
      </c>
      <c r="G12" s="24">
        <v>145499</v>
      </c>
      <c r="H12" s="24">
        <v>145903</v>
      </c>
      <c r="I12" s="24">
        <v>145299</v>
      </c>
      <c r="J12" s="24">
        <v>143585</v>
      </c>
      <c r="K12" s="24">
        <v>144050</v>
      </c>
      <c r="L12" s="24">
        <v>144415</v>
      </c>
      <c r="M12" s="24">
        <v>144452</v>
      </c>
      <c r="N12" s="24">
        <f>SUM(B12:M12)</f>
        <v>1727186</v>
      </c>
    </row>
    <row r="13" spans="1:14" ht="12.75">
      <c r="A13" s="23" t="s">
        <v>76</v>
      </c>
      <c r="B13" s="24">
        <v>4426990</v>
      </c>
      <c r="C13" s="24">
        <v>8899602</v>
      </c>
      <c r="D13" s="24">
        <v>13768400</v>
      </c>
      <c r="E13" s="24">
        <v>18065983</v>
      </c>
      <c r="F13" s="24">
        <v>13820259</v>
      </c>
      <c r="G13" s="24">
        <v>11977859</v>
      </c>
      <c r="H13" s="24">
        <v>9454820</v>
      </c>
      <c r="I13" s="24">
        <v>5218716</v>
      </c>
      <c r="J13" s="24">
        <v>3802973</v>
      </c>
      <c r="K13" s="24">
        <v>2733115</v>
      </c>
      <c r="L13" s="24">
        <v>2297332</v>
      </c>
      <c r="M13" s="24">
        <v>2687343</v>
      </c>
      <c r="N13" s="24">
        <f>SUM(B13:M13)</f>
        <v>97153392</v>
      </c>
    </row>
    <row r="14" spans="1:14" s="38" customFormat="1" ht="12.75">
      <c r="A14" s="38" t="s">
        <v>77</v>
      </c>
      <c r="B14" s="39">
        <f>+B12-B9</f>
        <v>62244</v>
      </c>
      <c r="C14" s="39">
        <f aca="true" t="shared" si="0" ref="C14:N14">+C12-C9</f>
        <v>116604</v>
      </c>
      <c r="D14" s="39">
        <f t="shared" si="0"/>
        <v>133431</v>
      </c>
      <c r="E14" s="39">
        <f t="shared" si="0"/>
        <v>138897</v>
      </c>
      <c r="F14" s="39">
        <f t="shared" si="0"/>
        <v>135621</v>
      </c>
      <c r="G14" s="39">
        <f t="shared" si="0"/>
        <v>132773</v>
      </c>
      <c r="H14" s="39">
        <f t="shared" si="0"/>
        <v>124697</v>
      </c>
      <c r="I14" s="39">
        <f t="shared" si="0"/>
        <v>77144</v>
      </c>
      <c r="J14" s="39">
        <f t="shared" si="0"/>
        <v>46919</v>
      </c>
      <c r="K14" s="39">
        <f t="shared" si="0"/>
        <v>22569</v>
      </c>
      <c r="L14" s="39">
        <f t="shared" si="0"/>
        <v>13739</v>
      </c>
      <c r="M14" s="39">
        <f t="shared" si="0"/>
        <v>21454</v>
      </c>
      <c r="N14" s="39">
        <f t="shared" si="0"/>
        <v>1026092</v>
      </c>
    </row>
    <row r="15" spans="2:14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38" customFormat="1" ht="12.75">
      <c r="A16" s="38" t="s">
        <v>78</v>
      </c>
      <c r="B16" s="39">
        <f>+B14*30</f>
        <v>1867320</v>
      </c>
      <c r="C16" s="39">
        <f aca="true" t="shared" si="1" ref="C16:N16">+C14*30</f>
        <v>3498120</v>
      </c>
      <c r="D16" s="39">
        <f t="shared" si="1"/>
        <v>4002930</v>
      </c>
      <c r="E16" s="39">
        <f t="shared" si="1"/>
        <v>4166910</v>
      </c>
      <c r="F16" s="39">
        <f t="shared" si="1"/>
        <v>4068630</v>
      </c>
      <c r="G16" s="39">
        <f t="shared" si="1"/>
        <v>3983190</v>
      </c>
      <c r="H16" s="39">
        <f t="shared" si="1"/>
        <v>3740910</v>
      </c>
      <c r="I16" s="39">
        <f t="shared" si="1"/>
        <v>2314320</v>
      </c>
      <c r="J16" s="39">
        <f t="shared" si="1"/>
        <v>1407570</v>
      </c>
      <c r="K16" s="39">
        <f t="shared" si="1"/>
        <v>677070</v>
      </c>
      <c r="L16" s="39">
        <f t="shared" si="1"/>
        <v>412170</v>
      </c>
      <c r="M16" s="39">
        <f t="shared" si="1"/>
        <v>643620</v>
      </c>
      <c r="N16" s="39">
        <f t="shared" si="1"/>
        <v>30782760</v>
      </c>
    </row>
    <row r="17" spans="1:14" s="38" customFormat="1" ht="12.75">
      <c r="A17" s="38" t="s">
        <v>79</v>
      </c>
      <c r="B17" s="39">
        <f>+B16+B10</f>
        <v>2065959</v>
      </c>
      <c r="C17" s="39">
        <f aca="true" t="shared" si="2" ref="C17:N17">+C16+C10</f>
        <v>3917755</v>
      </c>
      <c r="D17" s="39">
        <f t="shared" si="2"/>
        <v>4153700</v>
      </c>
      <c r="E17" s="39">
        <f t="shared" si="2"/>
        <v>4264824</v>
      </c>
      <c r="F17" s="39">
        <f t="shared" si="2"/>
        <v>4219356</v>
      </c>
      <c r="G17" s="39">
        <f t="shared" si="2"/>
        <v>4184848</v>
      </c>
      <c r="H17" s="39">
        <f t="shared" si="2"/>
        <v>4105810</v>
      </c>
      <c r="I17" s="39">
        <f t="shared" si="2"/>
        <v>3517818</v>
      </c>
      <c r="J17" s="39">
        <f t="shared" si="2"/>
        <v>2915876</v>
      </c>
      <c r="K17" s="39">
        <f t="shared" si="2"/>
        <v>2368685</v>
      </c>
      <c r="L17" s="39">
        <f t="shared" si="2"/>
        <v>2063535</v>
      </c>
      <c r="M17" s="39">
        <f t="shared" si="2"/>
        <v>2323720</v>
      </c>
      <c r="N17" s="39">
        <f t="shared" si="2"/>
        <v>40101886</v>
      </c>
    </row>
    <row r="18" spans="2:14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38" customFormat="1" ht="12.75">
      <c r="A19" s="38" t="s">
        <v>80</v>
      </c>
      <c r="B19" s="39">
        <f>+B13-B17</f>
        <v>2361031</v>
      </c>
      <c r="C19" s="39">
        <f aca="true" t="shared" si="3" ref="C19:N19">+C13-C17</f>
        <v>4981847</v>
      </c>
      <c r="D19" s="39">
        <f t="shared" si="3"/>
        <v>9614700</v>
      </c>
      <c r="E19" s="39">
        <f t="shared" si="3"/>
        <v>13801159</v>
      </c>
      <c r="F19" s="39">
        <f t="shared" si="3"/>
        <v>9600903</v>
      </c>
      <c r="G19" s="39">
        <f t="shared" si="3"/>
        <v>7793011</v>
      </c>
      <c r="H19" s="39">
        <f t="shared" si="3"/>
        <v>5349010</v>
      </c>
      <c r="I19" s="39">
        <f t="shared" si="3"/>
        <v>1700898</v>
      </c>
      <c r="J19" s="39">
        <f t="shared" si="3"/>
        <v>887097</v>
      </c>
      <c r="K19" s="39">
        <f t="shared" si="3"/>
        <v>364430</v>
      </c>
      <c r="L19" s="39">
        <f t="shared" si="3"/>
        <v>233797</v>
      </c>
      <c r="M19" s="39">
        <f t="shared" si="3"/>
        <v>363623</v>
      </c>
      <c r="N19" s="39">
        <f t="shared" si="3"/>
        <v>57051506</v>
      </c>
    </row>
    <row r="21" ht="12.75">
      <c r="N21" s="40">
        <f>+N19+N17</f>
        <v>97153392</v>
      </c>
    </row>
  </sheetData>
  <printOptions/>
  <pageMargins left="0.75" right="0.75" top="1" bottom="1" header="0.5" footer="0.5"/>
  <pageSetup fitToHeight="1" fitToWidth="1" horizontalDpi="600" verticalDpi="600" orientation="landscape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1" customWidth="1"/>
    <col min="3" max="3" width="9.140625" style="11" customWidth="1"/>
    <col min="4" max="4" width="17.140625" style="11" customWidth="1"/>
  </cols>
  <sheetData>
    <row r="1" ht="12.75">
      <c r="H1" s="111" t="s">
        <v>134</v>
      </c>
    </row>
    <row r="2" ht="12.75">
      <c r="H2" s="110" t="s">
        <v>141</v>
      </c>
    </row>
    <row r="3" spans="1:8" ht="12.75">
      <c r="A3" t="s">
        <v>24</v>
      </c>
      <c r="H3" s="110" t="s">
        <v>139</v>
      </c>
    </row>
    <row r="5" spans="1:4" ht="12.75">
      <c r="A5" t="s">
        <v>25</v>
      </c>
      <c r="B5" s="11" t="s">
        <v>5</v>
      </c>
      <c r="D5" s="11" t="s">
        <v>26</v>
      </c>
    </row>
    <row r="7" ht="12.75">
      <c r="A7">
        <v>1987</v>
      </c>
    </row>
    <row r="8" ht="12.75">
      <c r="A8">
        <f>+A7+1</f>
        <v>1988</v>
      </c>
    </row>
    <row r="9" ht="12.75">
      <c r="A9">
        <f aca="true" t="shared" si="0" ref="A9:A24">+A8+1</f>
        <v>1989</v>
      </c>
    </row>
    <row r="10" ht="12.75">
      <c r="A10">
        <f t="shared" si="0"/>
        <v>1990</v>
      </c>
    </row>
    <row r="11" ht="12.75">
      <c r="A11">
        <f t="shared" si="0"/>
        <v>1991</v>
      </c>
    </row>
    <row r="12" ht="12.75">
      <c r="A12">
        <f t="shared" si="0"/>
        <v>1992</v>
      </c>
    </row>
    <row r="13" ht="12.75">
      <c r="A13">
        <f t="shared" si="0"/>
        <v>1993</v>
      </c>
    </row>
    <row r="14" ht="12.75">
      <c r="A14">
        <f t="shared" si="0"/>
        <v>1994</v>
      </c>
    </row>
    <row r="15" spans="1:4" ht="12.75">
      <c r="A15">
        <f t="shared" si="0"/>
        <v>1995</v>
      </c>
      <c r="B15" s="11">
        <v>93524</v>
      </c>
      <c r="D15" s="11">
        <v>471657</v>
      </c>
    </row>
    <row r="16" spans="1:4" ht="12.75">
      <c r="A16">
        <f t="shared" si="0"/>
        <v>1996</v>
      </c>
      <c r="B16" s="11">
        <v>101779</v>
      </c>
      <c r="D16" s="11">
        <v>606743</v>
      </c>
    </row>
    <row r="17" spans="1:4" ht="12.75">
      <c r="A17">
        <f t="shared" si="0"/>
        <v>1997</v>
      </c>
      <c r="B17" s="11">
        <v>110137</v>
      </c>
      <c r="D17" s="11">
        <v>642060</v>
      </c>
    </row>
    <row r="18" spans="1:4" ht="12.75">
      <c r="A18">
        <f t="shared" si="0"/>
        <v>1998</v>
      </c>
      <c r="B18" s="11">
        <v>106454</v>
      </c>
      <c r="D18" s="11">
        <v>908278</v>
      </c>
    </row>
    <row r="19" spans="1:4" ht="12.75">
      <c r="A19">
        <f t="shared" si="0"/>
        <v>1999</v>
      </c>
      <c r="B19" s="11">
        <v>119909</v>
      </c>
      <c r="D19" s="11">
        <v>911801</v>
      </c>
    </row>
    <row r="20" spans="1:4" ht="12.75">
      <c r="A20">
        <f t="shared" si="0"/>
        <v>2000</v>
      </c>
      <c r="B20" s="11">
        <v>121847</v>
      </c>
      <c r="D20" s="11">
        <v>1101960</v>
      </c>
    </row>
    <row r="21" spans="1:4" ht="12.75">
      <c r="A21">
        <f t="shared" si="0"/>
        <v>2001</v>
      </c>
      <c r="B21" s="11">
        <v>126781</v>
      </c>
      <c r="D21" s="11">
        <v>1149224</v>
      </c>
    </row>
    <row r="22" spans="1:4" ht="12.75">
      <c r="A22">
        <f t="shared" si="0"/>
        <v>2002</v>
      </c>
      <c r="B22" s="11">
        <v>129212</v>
      </c>
      <c r="D22" s="11">
        <v>782019</v>
      </c>
    </row>
    <row r="23" spans="1:4" ht="12.75">
      <c r="A23">
        <f t="shared" si="0"/>
        <v>2003</v>
      </c>
      <c r="B23" s="11">
        <v>122623</v>
      </c>
      <c r="D23" s="11">
        <v>805286</v>
      </c>
    </row>
    <row r="24" spans="1:4" ht="12.75">
      <c r="A24">
        <f t="shared" si="0"/>
        <v>2004</v>
      </c>
      <c r="B24" s="11">
        <v>131267</v>
      </c>
      <c r="D24" s="11">
        <v>790870</v>
      </c>
    </row>
    <row r="26" ht="12.75">
      <c r="A26" t="s">
        <v>27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Regulatory Assistance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Lazar</dc:creator>
  <cp:keywords/>
  <dc:description/>
  <cp:lastModifiedBy>Office of the Attorney General</cp:lastModifiedBy>
  <cp:lastPrinted>2006-08-14T23:22:41Z</cp:lastPrinted>
  <dcterms:created xsi:type="dcterms:W3CDTF">2006-08-01T18:00:03Z</dcterms:created>
  <dcterms:modified xsi:type="dcterms:W3CDTF">2006-08-14T23:24:36Z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2006-08-15T00:00:00Z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