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95" yWindow="30" windowWidth="18450" windowHeight="11925"/>
  </bookViews>
  <sheets>
    <sheet name="Rev Req Adj Summary" sheetId="2" r:id="rId1"/>
    <sheet name="Variables" sheetId="1" r:id="rId2"/>
  </sheets>
  <externalReferences>
    <externalReference r:id="rId3"/>
  </externalReferences>
  <definedNames>
    <definedName name="Cost_Debt">Variables!$D$8</definedName>
    <definedName name="Cost_equity">Variables!$D$10</definedName>
    <definedName name="Cost_pref">Variables!$D$9</definedName>
    <definedName name="gross_up_factor">Variables!$D$34</definedName>
    <definedName name="Overall_ROR">Variables!$E$11</definedName>
    <definedName name="Percent_common">Variables!$C$10</definedName>
    <definedName name="Percent_debt">Variables!$C$8</definedName>
    <definedName name="Percent_pref">Variables!$C$9</definedName>
    <definedName name="_xlnm.Print_Area" localSheetId="0">'Rev Req Adj Summary'!$A$1:$F$86</definedName>
    <definedName name="Restated_Op_revenue">[1]Summary!$F$37</definedName>
    <definedName name="Restated_rate_base">[1]Summary!$F$64</definedName>
    <definedName name="Restated_ROE">[1]Summary!$F$67</definedName>
    <definedName name="Unadj_Op_revenue">[1]Summary!$B$37</definedName>
    <definedName name="Unadj_rate_base">[1]Summary!$B$64</definedName>
    <definedName name="Unadj_ROE">[1]Summary!$B$67</definedName>
    <definedName name="uncollectible_perc">Variables!$D$20</definedName>
    <definedName name="WA_rev_tax_perc">Variables!$D$22</definedName>
    <definedName name="Weighted_cost_debt">Variables!$E$8</definedName>
    <definedName name="Weighted_cost_equity">Variables!$E$10</definedName>
    <definedName name="Weighted_cost_pref">Variables!$E$9</definedName>
    <definedName name="WUTC_reg_fee_perc">Variables!$D$21</definedName>
  </definedNames>
  <calcPr calcId="145621"/>
</workbook>
</file>

<file path=xl/calcChain.xml><?xml version="1.0" encoding="utf-8"?>
<calcChain xmlns="http://schemas.openxmlformats.org/spreadsheetml/2006/main">
  <c r="D20" i="2" l="1"/>
  <c r="D76" i="2"/>
  <c r="E76" i="2"/>
  <c r="E73" i="2"/>
  <c r="D58" i="2"/>
  <c r="E41" i="2"/>
  <c r="E35" i="2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E20" i="2"/>
  <c r="D26" i="1"/>
  <c r="D30" i="1" s="1"/>
  <c r="D32" i="1" s="1"/>
  <c r="E10" i="1"/>
  <c r="E9" i="1"/>
  <c r="E8" i="1"/>
  <c r="D34" i="1" l="1"/>
  <c r="F64" i="2" s="1"/>
  <c r="D48" i="2"/>
  <c r="E58" i="2"/>
  <c r="E48" i="2"/>
  <c r="D73" i="2"/>
  <c r="E79" i="2"/>
  <c r="E81" i="2" s="1"/>
  <c r="E11" i="1"/>
  <c r="D35" i="2"/>
  <c r="D41" i="2"/>
  <c r="D79" i="2" l="1"/>
  <c r="D81" i="2" s="1"/>
  <c r="F45" i="2"/>
  <c r="F72" i="2"/>
  <c r="F38" i="2"/>
  <c r="F28" i="2"/>
  <c r="F71" i="2"/>
  <c r="F29" i="2"/>
  <c r="F55" i="2"/>
  <c r="F22" i="2"/>
  <c r="F23" i="2"/>
  <c r="F50" i="2"/>
  <c r="F32" i="2"/>
  <c r="F70" i="2"/>
  <c r="F43" i="2"/>
  <c r="F30" i="2"/>
  <c r="F37" i="2"/>
  <c r="F69" i="2"/>
  <c r="F62" i="2"/>
  <c r="F53" i="2"/>
  <c r="F24" i="2"/>
  <c r="F8" i="2"/>
  <c r="F44" i="2"/>
  <c r="F33" i="2"/>
  <c r="F67" i="2"/>
  <c r="F25" i="2"/>
  <c r="F61" i="2"/>
  <c r="F75" i="2"/>
  <c r="F51" i="2"/>
  <c r="F26" i="2"/>
  <c r="F40" i="2"/>
  <c r="F65" i="2"/>
  <c r="F68" i="2"/>
  <c r="F54" i="2"/>
  <c r="F18" i="2"/>
  <c r="F14" i="2"/>
  <c r="F56" i="2"/>
  <c r="F16" i="2"/>
  <c r="F11" i="2"/>
  <c r="F34" i="2"/>
  <c r="F17" i="2"/>
  <c r="F13" i="2"/>
  <c r="F19" i="2"/>
  <c r="F15" i="2"/>
  <c r="F46" i="2"/>
  <c r="F12" i="2"/>
  <c r="F57" i="2"/>
  <c r="F47" i="2"/>
  <c r="F27" i="2"/>
  <c r="F63" i="2"/>
  <c r="F66" i="2"/>
  <c r="F60" i="2"/>
  <c r="F39" i="2"/>
  <c r="F52" i="2"/>
  <c r="F31" i="2"/>
  <c r="F41" i="2" l="1"/>
  <c r="F58" i="2"/>
  <c r="F73" i="2"/>
  <c r="F48" i="2"/>
  <c r="F35" i="2"/>
  <c r="F20" i="2"/>
  <c r="F76" i="2"/>
  <c r="F79" i="2" l="1"/>
  <c r="F81" i="2" l="1"/>
</calcChain>
</file>

<file path=xl/sharedStrings.xml><?xml version="1.0" encoding="utf-8"?>
<sst xmlns="http://schemas.openxmlformats.org/spreadsheetml/2006/main" count="113" uniqueCount="112">
  <si>
    <t>PacifiCorp</t>
  </si>
  <si>
    <t>Washington General Rate Case - December 2013</t>
  </si>
  <si>
    <t>Variables</t>
  </si>
  <si>
    <t>Bench Request 12</t>
  </si>
  <si>
    <t>Capital Structure and Cost</t>
  </si>
  <si>
    <t xml:space="preserve">Capital Structure </t>
  </si>
  <si>
    <t>Embedded Cost</t>
  </si>
  <si>
    <t>Weighted Cost</t>
  </si>
  <si>
    <t>DEBT%</t>
  </si>
  <si>
    <t>PREFERRED %</t>
  </si>
  <si>
    <t>COMMON %</t>
  </si>
  <si>
    <t>Net to Gross Bump-up Factor</t>
  </si>
  <si>
    <t>Operating Revenue</t>
  </si>
  <si>
    <t>Operating Deductions</t>
  </si>
  <si>
    <t>Uncollectable Accounts</t>
  </si>
  <si>
    <t>WUTC Regulatory Fee</t>
  </si>
  <si>
    <t>WUTC Public Utility Tax</t>
  </si>
  <si>
    <t>Taxes Other - Resource Supplier</t>
  </si>
  <si>
    <t>Taxes Other - Gross Receipts</t>
  </si>
  <si>
    <t>Sub-Total</t>
  </si>
  <si>
    <t>State Taxes</t>
  </si>
  <si>
    <t>Federal Income Tax @ 35.00%</t>
  </si>
  <si>
    <t>Net Operating Income</t>
  </si>
  <si>
    <t>The table below presents the Company's restating and pro forma ratemaking adjustments and their impact on net operating income (NOI), rate base, and the Washington revenue requirement.</t>
  </si>
  <si>
    <t>A</t>
  </si>
  <si>
    <t>B</t>
  </si>
  <si>
    <t>C</t>
  </si>
  <si>
    <t>D</t>
  </si>
  <si>
    <t>E</t>
  </si>
  <si>
    <t>NOI</t>
  </si>
  <si>
    <t>Rate Base</t>
  </si>
  <si>
    <t>Rev. Req.</t>
  </si>
  <si>
    <t>Unadjusted Washington Allocated Data (Per Books)</t>
  </si>
  <si>
    <t>Line No.</t>
  </si>
  <si>
    <t>Adj. No.</t>
  </si>
  <si>
    <t>Tab 3 - Revenue - Subtotal</t>
  </si>
  <si>
    <t>4.11 - 4.11.1</t>
  </si>
  <si>
    <t>4.13.1 - 4.13.5</t>
  </si>
  <si>
    <t>Tab 4 - O&amp;M - Subtotal</t>
  </si>
  <si>
    <t>5.1.1</t>
  </si>
  <si>
    <t>Tab 5 - NPC - Subtotal</t>
  </si>
  <si>
    <t>Hydro Decomissioning</t>
  </si>
  <si>
    <t>6.2 - 6.2.2</t>
  </si>
  <si>
    <t>6.3 - 6.3.2</t>
  </si>
  <si>
    <t>6.4 - 6.4.2</t>
  </si>
  <si>
    <t>Retired Assets Depreciation Expense Removal - NEW</t>
  </si>
  <si>
    <t>Tab 6 - Depreciation/Amortization - Subtotal</t>
  </si>
  <si>
    <t>7.6/7.6.1</t>
  </si>
  <si>
    <t>Tab 7 - Tax- Subtotal</t>
  </si>
  <si>
    <t>Jim Bridger Mine Rate Base</t>
  </si>
  <si>
    <t>Environmental Remediation</t>
  </si>
  <si>
    <t>Customer Advances for Construction</t>
  </si>
  <si>
    <t>8.4 - 8.4.1</t>
  </si>
  <si>
    <t>**REVISED 12-11-2014** Pro Forma Major Plant Additions</t>
  </si>
  <si>
    <t>8.5 - 8.5.1</t>
  </si>
  <si>
    <t>Miscellaneous Rate Base - REVISED</t>
  </si>
  <si>
    <t>Powerdale Hydro Removal</t>
  </si>
  <si>
    <t>Removal of Colstrip #4 AFUDC</t>
  </si>
  <si>
    <t>Trojan Unrecovered Plant</t>
  </si>
  <si>
    <t>Customer Service Deposits</t>
  </si>
  <si>
    <t>Reg Asset Amortization</t>
  </si>
  <si>
    <t>Misc. Asset Sales and Removals - REVISED</t>
  </si>
  <si>
    <t>8.12 - 8.12.6</t>
  </si>
  <si>
    <t>Investor Supplied Working Capital</t>
  </si>
  <si>
    <t>Tab 8 - Rate Base- Subtotal</t>
  </si>
  <si>
    <t>9.1 - 9.1.1</t>
  </si>
  <si>
    <t>**REVISED - 12-11-2014** Production Factor</t>
  </si>
  <si>
    <t>Tab 9 - Production Factor- Subtotal</t>
  </si>
  <si>
    <t>Subtotal Normalizing Adjustments</t>
  </si>
  <si>
    <t>Total Adjusted Results</t>
  </si>
  <si>
    <t xml:space="preserve">Notes: </t>
  </si>
  <si>
    <t>(1) The revenue requirement column is calculated using the Company's proposed return on rate base of 7.67% and the NOI conversion factor of 61.940%.</t>
  </si>
  <si>
    <t>The development of these percentages can be found in Exhibit No.___(NCS-11) on pages 2.1 and 1.3 respectively.</t>
  </si>
  <si>
    <t>Temperature Normalization</t>
  </si>
  <si>
    <t>Revenue Normalization</t>
  </si>
  <si>
    <t>Effective Price Change</t>
  </si>
  <si>
    <t>SO2 Emission Allowance Sales</t>
  </si>
  <si>
    <t>Renewable Energy Credit and Renewable Energy Attribute Revenue</t>
  </si>
  <si>
    <t>Wheeling Revenue</t>
  </si>
  <si>
    <t>Ancillary Revenue</t>
  </si>
  <si>
    <t>Schedule 300 Fee Change - REVISED</t>
  </si>
  <si>
    <t>Wind Wake Loss Revenues</t>
  </si>
  <si>
    <t>Miscellan -eous Expense &amp; Revenue</t>
  </si>
  <si>
    <t>General Wage Increase - Restating</t>
  </si>
  <si>
    <t>General Wage Increase - Pro Forma</t>
  </si>
  <si>
    <t>Irrigation Load Control Program</t>
  </si>
  <si>
    <t>Remove Non-Recurring Entries</t>
  </si>
  <si>
    <t>DSM Revenue and Expense Removal</t>
  </si>
  <si>
    <t>Insurance Expense</t>
  </si>
  <si>
    <t>Advertising</t>
  </si>
  <si>
    <t>Memberships &amp; Subscriptions</t>
  </si>
  <si>
    <t>Uncollectible Expense</t>
  </si>
  <si>
    <t>Legal Expenses - REVISED</t>
  </si>
  <si>
    <t>Collection Agency Fees - REVISED</t>
  </si>
  <si>
    <t>IHS Global Insight Escalation - REVISED</t>
  </si>
  <si>
    <t>Net Power Costs - Restating</t>
  </si>
  <si>
    <t>Net Power Costs - Pro Forma - REVISED</t>
  </si>
  <si>
    <t>James River Royalty Offset</t>
  </si>
  <si>
    <t>Colstrip #3 Removal</t>
  </si>
  <si>
    <t>Depreciation and Amortization Reserve to December 2013 Balance - REMOVED</t>
  </si>
  <si>
    <t>**REVISED 3-6-2015** Depreciation Study &amp; Annual Depreciation - AMA Basis</t>
  </si>
  <si>
    <t>Vehicle Depreciation -  Depreciation Study</t>
  </si>
  <si>
    <t>**REVISED - 3-6-2015** Interest True Up</t>
  </si>
  <si>
    <t>Property Tax Expense - REVISED</t>
  </si>
  <si>
    <t>Renewable Energy Tax Credit</t>
  </si>
  <si>
    <t>PowerTax ADIT Balance</t>
  </si>
  <si>
    <t>WA Low Income Tax Credit</t>
  </si>
  <si>
    <t>Flow-Through Adjustment</t>
  </si>
  <si>
    <t>**REVISED 3-6-2015** Remove Deferred State Tax Expense &amp; Balance</t>
  </si>
  <si>
    <t>WA Public Utility Tax Adjustment</t>
  </si>
  <si>
    <t>Adjust December 2013 AMA Plant Balances to December 2013 Balance - REMOVED</t>
  </si>
  <si>
    <t>Revenue Requirement Adjustment Summary - Bench Request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</si>
</sst>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###,000"/>
  </numFmts>
  <fonts count="21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5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DBE5F1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</borders>
  <cellStyleXfs count="4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1" fillId="0" borderId="0"/>
    <xf numFmtId="9" fontId="8" fillId="0" borderId="0" applyFont="0" applyFill="0" applyBorder="0" applyAlignment="0" applyProtection="0"/>
    <xf numFmtId="0" fontId="9" fillId="0" borderId="8" applyNumberFormat="0" applyFont="0" applyFill="0" applyAlignment="0" applyProtection="0"/>
    <xf numFmtId="166" fontId="10" fillId="0" borderId="9" applyNumberFormat="0" applyProtection="0">
      <alignment horizontal="right" vertical="center"/>
    </xf>
    <xf numFmtId="166" fontId="11" fillId="0" borderId="10" applyNumberFormat="0" applyProtection="0">
      <alignment horizontal="right" vertical="center"/>
    </xf>
    <xf numFmtId="0" fontId="11" fillId="3" borderId="8" applyNumberFormat="0" applyAlignment="0" applyProtection="0">
      <alignment horizontal="left" vertical="center" indent="1"/>
    </xf>
    <xf numFmtId="0" fontId="12" fillId="4" borderId="10" applyNumberFormat="0" applyAlignment="0" applyProtection="0">
      <alignment horizontal="left" vertical="center" indent="1"/>
    </xf>
    <xf numFmtId="0" fontId="12" fillId="4" borderId="10" applyNumberFormat="0" applyAlignment="0" applyProtection="0">
      <alignment horizontal="left" vertical="center" indent="1"/>
    </xf>
    <xf numFmtId="0" fontId="13" fillId="0" borderId="11" applyNumberFormat="0" applyFill="0" applyBorder="0" applyAlignment="0" applyProtection="0"/>
    <xf numFmtId="0" fontId="13" fillId="4" borderId="10" applyNumberFormat="0" applyAlignment="0" applyProtection="0">
      <alignment horizontal="left" vertical="center" indent="1"/>
    </xf>
    <xf numFmtId="0" fontId="13" fillId="4" borderId="10" applyNumberFormat="0" applyAlignment="0" applyProtection="0">
      <alignment horizontal="left" vertical="center" indent="1"/>
    </xf>
    <xf numFmtId="166" fontId="14" fillId="5" borderId="9" applyNumberFormat="0" applyBorder="0" applyProtection="0">
      <alignment horizontal="right" vertical="center"/>
    </xf>
    <xf numFmtId="166" fontId="15" fillId="5" borderId="10" applyNumberFormat="0" applyBorder="0" applyProtection="0">
      <alignment horizontal="right" vertical="center"/>
    </xf>
    <xf numFmtId="0" fontId="13" fillId="6" borderId="10" applyNumberFormat="0" applyAlignment="0" applyProtection="0">
      <alignment horizontal="left" vertical="center" indent="1"/>
    </xf>
    <xf numFmtId="166" fontId="15" fillId="6" borderId="10" applyNumberFormat="0" applyProtection="0">
      <alignment horizontal="right" vertical="center"/>
    </xf>
    <xf numFmtId="0" fontId="16" fillId="0" borderId="11" applyBorder="0" applyAlignment="0" applyProtection="0"/>
    <xf numFmtId="166" fontId="17" fillId="7" borderId="12" applyNumberFormat="0" applyBorder="0" applyAlignment="0" applyProtection="0">
      <alignment horizontal="right" vertical="center" indent="1"/>
    </xf>
    <xf numFmtId="166" fontId="18" fillId="8" borderId="12" applyNumberFormat="0" applyBorder="0" applyAlignment="0" applyProtection="0">
      <alignment horizontal="right" vertical="center" indent="1"/>
    </xf>
    <xf numFmtId="166" fontId="18" fillId="9" borderId="12" applyNumberFormat="0" applyBorder="0" applyAlignment="0" applyProtection="0">
      <alignment horizontal="right" vertical="center" indent="1"/>
    </xf>
    <xf numFmtId="166" fontId="19" fillId="10" borderId="12" applyNumberFormat="0" applyBorder="0" applyAlignment="0" applyProtection="0">
      <alignment horizontal="right" vertical="center" indent="1"/>
    </xf>
    <xf numFmtId="166" fontId="19" fillId="11" borderId="12" applyNumberFormat="0" applyBorder="0" applyAlignment="0" applyProtection="0">
      <alignment horizontal="right" vertical="center" indent="1"/>
    </xf>
    <xf numFmtId="166" fontId="19" fillId="12" borderId="12" applyNumberFormat="0" applyBorder="0" applyAlignment="0" applyProtection="0">
      <alignment horizontal="right" vertical="center" indent="1"/>
    </xf>
    <xf numFmtId="166" fontId="20" fillId="13" borderId="12" applyNumberFormat="0" applyBorder="0" applyAlignment="0" applyProtection="0">
      <alignment horizontal="right" vertical="center" indent="1"/>
    </xf>
    <xf numFmtId="166" fontId="20" fillId="14" borderId="12" applyNumberFormat="0" applyBorder="0" applyAlignment="0" applyProtection="0">
      <alignment horizontal="right" vertical="center" indent="1"/>
    </xf>
    <xf numFmtId="166" fontId="20" fillId="15" borderId="12" applyNumberFormat="0" applyBorder="0" applyAlignment="0" applyProtection="0">
      <alignment horizontal="right" vertical="center" indent="1"/>
    </xf>
    <xf numFmtId="0" fontId="12" fillId="16" borderId="8" applyNumberFormat="0" applyAlignment="0" applyProtection="0">
      <alignment horizontal="left" vertical="center" indent="1"/>
    </xf>
    <xf numFmtId="0" fontId="12" fillId="17" borderId="8" applyNumberFormat="0" applyAlignment="0" applyProtection="0">
      <alignment horizontal="left" vertical="center" indent="1"/>
    </xf>
    <xf numFmtId="0" fontId="12" fillId="18" borderId="8" applyNumberFormat="0" applyAlignment="0" applyProtection="0">
      <alignment horizontal="left" vertical="center" indent="1"/>
    </xf>
    <xf numFmtId="0" fontId="12" fillId="5" borderId="8" applyNumberFormat="0" applyAlignment="0" applyProtection="0">
      <alignment horizontal="left" vertical="center" indent="1"/>
    </xf>
    <xf numFmtId="0" fontId="12" fillId="6" borderId="10" applyNumberFormat="0" applyAlignment="0" applyProtection="0">
      <alignment horizontal="left" vertical="center" indent="1"/>
    </xf>
    <xf numFmtId="166" fontId="10" fillId="5" borderId="9" applyNumberFormat="0" applyBorder="0" applyProtection="0">
      <alignment horizontal="right" vertical="center"/>
    </xf>
    <xf numFmtId="166" fontId="11" fillId="5" borderId="10" applyNumberFormat="0" applyBorder="0" applyProtection="0">
      <alignment horizontal="right" vertical="center"/>
    </xf>
    <xf numFmtId="166" fontId="10" fillId="19" borderId="8" applyNumberFormat="0" applyAlignment="0" applyProtection="0">
      <alignment horizontal="left" vertical="center" indent="1"/>
    </xf>
    <xf numFmtId="0" fontId="11" fillId="3" borderId="10" applyNumberFormat="0" applyAlignment="0" applyProtection="0">
      <alignment horizontal="left" vertical="center" indent="1"/>
    </xf>
    <xf numFmtId="0" fontId="12" fillId="6" borderId="10" applyNumberFormat="0" applyAlignment="0" applyProtection="0">
      <alignment horizontal="left" vertical="center" indent="1"/>
    </xf>
    <xf numFmtId="166" fontId="11" fillId="6" borderId="10" applyNumberFormat="0" applyProtection="0">
      <alignment horizontal="right" vertical="center"/>
    </xf>
  </cellStyleXfs>
  <cellXfs count="58">
    <xf numFmtId="0" fontId="0" fillId="0" borderId="0" xfId="0"/>
    <xf numFmtId="0" fontId="2" fillId="0" borderId="0" xfId="0" applyFont="1"/>
    <xf numFmtId="0" fontId="1" fillId="0" borderId="0" xfId="0" applyFont="1"/>
    <xf numFmtId="164" fontId="2" fillId="0" borderId="0" xfId="1" applyNumberFormat="1" applyFont="1" applyFill="1" applyBorder="1" applyAlignment="1">
      <alignment horizontal="left"/>
    </xf>
    <xf numFmtId="0" fontId="2" fillId="0" borderId="0" xfId="0" applyFont="1" applyBorder="1"/>
    <xf numFmtId="0" fontId="1" fillId="0" borderId="0" xfId="0" applyFont="1" applyBorder="1" applyAlignment="1">
      <alignment horizontal="centerContinuous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/>
    <xf numFmtId="165" fontId="1" fillId="0" borderId="3" xfId="2" applyNumberFormat="1" applyFont="1" applyFill="1" applyBorder="1"/>
    <xf numFmtId="165" fontId="1" fillId="0" borderId="0" xfId="2" applyNumberFormat="1" applyFont="1" applyFill="1" applyBorder="1"/>
    <xf numFmtId="10" fontId="1" fillId="0" borderId="3" xfId="2" applyNumberFormat="1" applyFont="1" applyBorder="1"/>
    <xf numFmtId="0" fontId="1" fillId="0" borderId="4" xfId="0" applyFont="1" applyBorder="1"/>
    <xf numFmtId="165" fontId="1" fillId="0" borderId="4" xfId="2" applyNumberFormat="1" applyFont="1" applyFill="1" applyBorder="1"/>
    <xf numFmtId="165" fontId="1" fillId="0" borderId="5" xfId="2" applyNumberFormat="1" applyFont="1" applyFill="1" applyBorder="1"/>
    <xf numFmtId="10" fontId="1" fillId="0" borderId="4" xfId="2" applyNumberFormat="1" applyFont="1" applyBorder="1"/>
    <xf numFmtId="10" fontId="1" fillId="0" borderId="1" xfId="0" applyNumberFormat="1" applyFont="1" applyBorder="1"/>
    <xf numFmtId="0" fontId="2" fillId="0" borderId="5" xfId="0" applyFont="1" applyBorder="1"/>
    <xf numFmtId="0" fontId="1" fillId="0" borderId="5" xfId="0" applyFont="1" applyBorder="1"/>
    <xf numFmtId="165" fontId="1" fillId="0" borderId="0" xfId="2" applyNumberFormat="1" applyFont="1"/>
    <xf numFmtId="165" fontId="1" fillId="0" borderId="0" xfId="2" applyNumberFormat="1" applyFont="1" applyFill="1"/>
    <xf numFmtId="0" fontId="1" fillId="0" borderId="0" xfId="0" quotePrefix="1" applyFont="1" applyAlignment="1">
      <alignment horizontal="left"/>
    </xf>
    <xf numFmtId="165" fontId="1" fillId="0" borderId="0" xfId="2" quotePrefix="1" applyNumberFormat="1" applyFont="1"/>
    <xf numFmtId="165" fontId="1" fillId="0" borderId="5" xfId="2" applyNumberFormat="1" applyFont="1" applyBorder="1"/>
    <xf numFmtId="10" fontId="1" fillId="0" borderId="0" xfId="2" applyNumberFormat="1" applyFont="1"/>
    <xf numFmtId="165" fontId="1" fillId="0" borderId="6" xfId="2" quotePrefix="1" applyNumberFormat="1" applyFont="1" applyBorder="1"/>
    <xf numFmtId="165" fontId="1" fillId="0" borderId="0" xfId="2" quotePrefix="1" applyNumberFormat="1" applyFont="1" applyBorder="1"/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Continuous"/>
    </xf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7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center"/>
    </xf>
    <xf numFmtId="0" fontId="6" fillId="0" borderId="0" xfId="0" applyFont="1" applyFill="1" applyAlignment="1">
      <alignment horizontal="right"/>
    </xf>
    <xf numFmtId="164" fontId="6" fillId="0" borderId="0" xfId="1" applyNumberFormat="1" applyFont="1" applyFill="1"/>
    <xf numFmtId="164" fontId="4" fillId="0" borderId="0" xfId="1" applyNumberFormat="1" applyFont="1" applyFill="1"/>
    <xf numFmtId="0" fontId="6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/>
    </xf>
    <xf numFmtId="164" fontId="4" fillId="0" borderId="0" xfId="1" applyNumberFormat="1" applyFont="1" applyFill="1" applyBorder="1"/>
    <xf numFmtId="0" fontId="4" fillId="0" borderId="0" xfId="0" quotePrefix="1" applyNumberFormat="1" applyFont="1" applyFill="1" applyAlignment="1">
      <alignment horizontal="center"/>
    </xf>
    <xf numFmtId="164" fontId="4" fillId="0" borderId="5" xfId="1" applyNumberFormat="1" applyFont="1" applyFill="1" applyBorder="1"/>
    <xf numFmtId="2" fontId="4" fillId="0" borderId="0" xfId="0" applyNumberFormat="1" applyFont="1" applyFill="1" applyAlignment="1">
      <alignment horizontal="center"/>
    </xf>
    <xf numFmtId="164" fontId="6" fillId="0" borderId="0" xfId="1" applyNumberFormat="1" applyFont="1" applyFill="1" applyBorder="1"/>
    <xf numFmtId="0" fontId="7" fillId="2" borderId="0" xfId="0" quotePrefix="1" applyNumberFormat="1" applyFont="1" applyFill="1" applyAlignment="1">
      <alignment horizontal="center"/>
    </xf>
    <xf numFmtId="0" fontId="7" fillId="2" borderId="0" xfId="0" applyFont="1" applyFill="1"/>
    <xf numFmtId="164" fontId="4" fillId="2" borderId="0" xfId="1" applyNumberFormat="1" applyFont="1" applyFill="1" applyBorder="1"/>
    <xf numFmtId="164" fontId="4" fillId="2" borderId="0" xfId="1" applyNumberFormat="1" applyFont="1" applyFill="1"/>
    <xf numFmtId="0" fontId="7" fillId="2" borderId="0" xfId="0" applyNumberFormat="1" applyFont="1" applyFill="1" applyAlignment="1">
      <alignment horizontal="center"/>
    </xf>
    <xf numFmtId="0" fontId="6" fillId="0" borderId="0" xfId="0" applyFont="1" applyFill="1" applyBorder="1"/>
    <xf numFmtId="0" fontId="4" fillId="0" borderId="0" xfId="0" applyFont="1"/>
    <xf numFmtId="164" fontId="6" fillId="0" borderId="7" xfId="0" applyNumberFormat="1" applyFont="1" applyBorder="1"/>
    <xf numFmtId="0" fontId="1" fillId="0" borderId="0" xfId="0" applyFont="1" applyFill="1" applyAlignment="1">
      <alignment horizontal="left" wrapText="1"/>
    </xf>
  </cellXfs>
  <cellStyles count="41">
    <cellStyle name="Comma" xfId="1" builtinId="3"/>
    <cellStyle name="Comma 2" xfId="3"/>
    <cellStyle name="Normal" xfId="0" builtinId="0"/>
    <cellStyle name="Normal 2" xfId="4"/>
    <cellStyle name="Normal 3" xfId="5"/>
    <cellStyle name="Percent" xfId="2" builtinId="5"/>
    <cellStyle name="Percent 2" xfId="6"/>
    <cellStyle name="SAPBorder" xfId="7"/>
    <cellStyle name="SAPDataCell" xfId="8"/>
    <cellStyle name="SAPDataTotalCell" xfId="9"/>
    <cellStyle name="SAPDimensionCell" xfId="10"/>
    <cellStyle name="SAPEditableDataCell" xfId="11"/>
    <cellStyle name="SAPEditableDataTotalCell" xfId="12"/>
    <cellStyle name="SAPEmphasized" xfId="13"/>
    <cellStyle name="SAPEmphasizedEditableDataCell" xfId="14"/>
    <cellStyle name="SAPEmphasizedEditableDataTotalCell" xfId="15"/>
    <cellStyle name="SAPEmphasizedLockedDataCell" xfId="16"/>
    <cellStyle name="SAPEmphasizedLockedDataTotalCell" xfId="17"/>
    <cellStyle name="SAPEmphasizedReadonlyDataCell" xfId="18"/>
    <cellStyle name="SAPEmphasizedReadonlyDataTotalCell" xfId="19"/>
    <cellStyle name="SAPEmphasizedTotal" xfId="20"/>
    <cellStyle name="SAPExceptionLevel1" xfId="21"/>
    <cellStyle name="SAPExceptionLevel2" xfId="22"/>
    <cellStyle name="SAPExceptionLevel3" xfId="23"/>
    <cellStyle name="SAPExceptionLevel4" xfId="24"/>
    <cellStyle name="SAPExceptionLevel5" xfId="25"/>
    <cellStyle name="SAPExceptionLevel6" xfId="26"/>
    <cellStyle name="SAPExceptionLevel7" xfId="27"/>
    <cellStyle name="SAPExceptionLevel8" xfId="28"/>
    <cellStyle name="SAPExceptionLevel9" xfId="29"/>
    <cellStyle name="SAPHierarchyCell0" xfId="30"/>
    <cellStyle name="SAPHierarchyCell1" xfId="31"/>
    <cellStyle name="SAPHierarchyCell2" xfId="32"/>
    <cellStyle name="SAPHierarchyCell3" xfId="33"/>
    <cellStyle name="SAPHierarchyCell4" xfId="34"/>
    <cellStyle name="SAPLockedDataCell" xfId="35"/>
    <cellStyle name="SAPLockedDataTotalCell" xfId="36"/>
    <cellStyle name="SAPMemberCell" xfId="37"/>
    <cellStyle name="SAPMemberTotalCell" xfId="38"/>
    <cellStyle name="SAPReadonlyDataCell" xfId="39"/>
    <cellStyle name="SAPReadonlyDataTotalCell" xfId="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ER\WA%20GRC%20Dec%202013%20Base\Bench%20Requests\Bench%20Request%2012\AMA\Revenue%20Requirement%20Summary%20Model%20-%20Bench%20Request%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Total Adj"/>
      <sheetName val="Restating Adj"/>
      <sheetName val="Pro Forma Adj"/>
      <sheetName val="Interest Calc"/>
      <sheetName val="Variables"/>
      <sheetName val="Check Sheet"/>
      <sheetName val="Rev Req Adj Summary"/>
      <sheetName val="Summarized Adjustments"/>
      <sheetName val="Page 1.4"/>
      <sheetName val="Page 1.5"/>
      <sheetName val="Page 1.6"/>
    </sheetNames>
    <sheetDataSet>
      <sheetData sheetId="0">
        <row r="37">
          <cell r="B37">
            <v>40389777.94615829</v>
          </cell>
          <cell r="F37">
            <v>54565612.685787857</v>
          </cell>
        </row>
        <row r="64">
          <cell r="B64">
            <v>788256371.82205129</v>
          </cell>
          <cell r="F64">
            <v>800688219.94880903</v>
          </cell>
        </row>
        <row r="67">
          <cell r="B67">
            <v>5.0710212460143671E-2</v>
          </cell>
          <cell r="F67">
            <v>8.3397234691307623E-2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6"/>
  <sheetViews>
    <sheetView tabSelected="1" topLeftCell="A34" workbookViewId="0">
      <selection activeCell="C97" sqref="C97"/>
    </sheetView>
  </sheetViews>
  <sheetFormatPr defaultRowHeight="11.25" x14ac:dyDescent="0.2"/>
  <cols>
    <col min="1" max="1" width="5.140625" style="31" customWidth="1"/>
    <col min="2" max="2" width="11.140625" style="29" customWidth="1"/>
    <col min="3" max="3" width="66.28515625" style="31" customWidth="1"/>
    <col min="4" max="5" width="10.7109375" style="31" customWidth="1"/>
    <col min="6" max="6" width="10.42578125" style="31" bestFit="1" customWidth="1"/>
    <col min="7" max="16384" width="9.140625" style="31"/>
  </cols>
  <sheetData>
    <row r="1" spans="1:6" ht="19.5" x14ac:dyDescent="0.3">
      <c r="A1" s="28" t="s">
        <v>111</v>
      </c>
      <c r="C1" s="30"/>
      <c r="D1" s="30"/>
      <c r="E1" s="30"/>
      <c r="F1" s="30"/>
    </row>
    <row r="2" spans="1:6" ht="6" customHeight="1" x14ac:dyDescent="0.2">
      <c r="A2" s="32"/>
    </row>
    <row r="3" spans="1:6" ht="12.75" customHeight="1" x14ac:dyDescent="0.2">
      <c r="A3" s="57" t="s">
        <v>23</v>
      </c>
      <c r="B3" s="57"/>
      <c r="C3" s="57"/>
      <c r="D3" s="57"/>
      <c r="E3" s="57"/>
      <c r="F3" s="57"/>
    </row>
    <row r="4" spans="1:6" ht="12.75" customHeight="1" x14ac:dyDescent="0.2">
      <c r="A4" s="57"/>
      <c r="B4" s="57"/>
      <c r="C4" s="57"/>
      <c r="D4" s="57"/>
      <c r="E4" s="57"/>
      <c r="F4" s="57"/>
    </row>
    <row r="5" spans="1:6" ht="12.75" x14ac:dyDescent="0.2">
      <c r="B5" s="33"/>
    </row>
    <row r="6" spans="1:6" x14ac:dyDescent="0.2">
      <c r="B6" s="34" t="s">
        <v>24</v>
      </c>
      <c r="C6" s="34" t="s">
        <v>25</v>
      </c>
      <c r="D6" s="34" t="s">
        <v>26</v>
      </c>
      <c r="E6" s="34" t="s">
        <v>27</v>
      </c>
      <c r="F6" s="34" t="s">
        <v>28</v>
      </c>
    </row>
    <row r="7" spans="1:6" x14ac:dyDescent="0.2">
      <c r="D7" s="35" t="s">
        <v>29</v>
      </c>
      <c r="E7" s="36" t="s">
        <v>30</v>
      </c>
      <c r="F7" s="35" t="s">
        <v>31</v>
      </c>
    </row>
    <row r="8" spans="1:6" x14ac:dyDescent="0.2">
      <c r="C8" s="37" t="s">
        <v>32</v>
      </c>
      <c r="D8" s="38">
        <v>40389778</v>
      </c>
      <c r="E8" s="38">
        <v>788256372</v>
      </c>
      <c r="F8" s="38">
        <f>-(D8-(E8*Overall_ROR))/gross_up_factor</f>
        <v>32401494.563125607</v>
      </c>
    </row>
    <row r="9" spans="1:6" x14ac:dyDescent="0.2">
      <c r="C9" s="37"/>
      <c r="D9" s="38"/>
      <c r="E9" s="38"/>
      <c r="F9" s="38"/>
    </row>
    <row r="10" spans="1:6" s="42" customFormat="1" ht="24.75" customHeight="1" x14ac:dyDescent="0.2">
      <c r="A10" s="40" t="s">
        <v>33</v>
      </c>
      <c r="B10" s="40" t="s">
        <v>34</v>
      </c>
      <c r="C10" s="40"/>
      <c r="D10" s="40"/>
      <c r="E10" s="40"/>
      <c r="F10" s="41"/>
    </row>
    <row r="11" spans="1:6" x14ac:dyDescent="0.2">
      <c r="A11" s="29">
        <v>1</v>
      </c>
      <c r="B11" s="43">
        <v>3.1</v>
      </c>
      <c r="C11" s="31" t="s">
        <v>73</v>
      </c>
      <c r="D11" s="39">
        <v>-3700294.8254999998</v>
      </c>
      <c r="E11" s="39">
        <v>0</v>
      </c>
      <c r="F11" s="39">
        <f t="shared" ref="F11:F16" si="0">-(D11-(E11*Overall_ROR))/gross_up_factor</f>
        <v>5973998.7495963834</v>
      </c>
    </row>
    <row r="12" spans="1:6" x14ac:dyDescent="0.2">
      <c r="A12" s="29">
        <f>A11+1</f>
        <v>2</v>
      </c>
      <c r="B12" s="43">
        <v>3.2</v>
      </c>
      <c r="C12" s="31" t="s">
        <v>74</v>
      </c>
      <c r="D12" s="39">
        <v>-4827929.8803313505</v>
      </c>
      <c r="E12" s="39">
        <v>0</v>
      </c>
      <c r="F12" s="39">
        <f t="shared" si="0"/>
        <v>7794526.7683747998</v>
      </c>
    </row>
    <row r="13" spans="1:6" x14ac:dyDescent="0.2">
      <c r="A13" s="29">
        <f t="shared" ref="A13:A76" si="1">A12+1</f>
        <v>3</v>
      </c>
      <c r="B13" s="43">
        <v>3.3</v>
      </c>
      <c r="C13" s="31" t="s">
        <v>75</v>
      </c>
      <c r="D13" s="39">
        <v>11066786.133521356</v>
      </c>
      <c r="E13" s="39">
        <v>0</v>
      </c>
      <c r="F13" s="39">
        <f>-(D13-(E13*Overall_ROR))/gross_up_factor</f>
        <v>-17866945.646627959</v>
      </c>
    </row>
    <row r="14" spans="1:6" x14ac:dyDescent="0.2">
      <c r="A14" s="29">
        <f t="shared" si="1"/>
        <v>4</v>
      </c>
      <c r="B14" s="43">
        <v>3.4</v>
      </c>
      <c r="C14" s="31" t="s">
        <v>76</v>
      </c>
      <c r="D14" s="39">
        <v>481473.27761135239</v>
      </c>
      <c r="E14" s="39">
        <v>-249924.71937285986</v>
      </c>
      <c r="F14" s="39">
        <f t="shared" si="0"/>
        <v>-808270.10588836088</v>
      </c>
    </row>
    <row r="15" spans="1:6" x14ac:dyDescent="0.2">
      <c r="A15" s="29">
        <f t="shared" si="1"/>
        <v>5</v>
      </c>
      <c r="B15" s="43">
        <v>3.5</v>
      </c>
      <c r="C15" s="31" t="s">
        <v>77</v>
      </c>
      <c r="D15" s="39">
        <v>-1464670.435197121</v>
      </c>
      <c r="E15" s="39">
        <v>0</v>
      </c>
      <c r="F15" s="39">
        <f t="shared" si="0"/>
        <v>2364660.0503666792</v>
      </c>
    </row>
    <row r="16" spans="1:6" x14ac:dyDescent="0.2">
      <c r="A16" s="29">
        <f t="shared" si="1"/>
        <v>6</v>
      </c>
      <c r="B16" s="43">
        <v>3.6</v>
      </c>
      <c r="C16" s="31" t="s">
        <v>78</v>
      </c>
      <c r="D16" s="39">
        <v>225695.19587542658</v>
      </c>
      <c r="E16" s="39">
        <v>0</v>
      </c>
      <c r="F16" s="39">
        <f t="shared" si="0"/>
        <v>-364377.13250795385</v>
      </c>
    </row>
    <row r="17" spans="1:6" x14ac:dyDescent="0.2">
      <c r="A17" s="29">
        <f t="shared" si="1"/>
        <v>7</v>
      </c>
      <c r="B17" s="43">
        <v>3.7</v>
      </c>
      <c r="C17" s="31" t="s">
        <v>79</v>
      </c>
      <c r="D17" s="44">
        <v>26861.784592098978</v>
      </c>
      <c r="E17" s="44">
        <v>0</v>
      </c>
      <c r="F17" s="44">
        <f>-(D17-(E17*Overall_ROR))/gross_up_factor</f>
        <v>-43367.427497738099</v>
      </c>
    </row>
    <row r="18" spans="1:6" x14ac:dyDescent="0.2">
      <c r="A18" s="29">
        <f t="shared" si="1"/>
        <v>8</v>
      </c>
      <c r="B18" s="45">
        <v>3.8</v>
      </c>
      <c r="C18" s="31" t="s">
        <v>80</v>
      </c>
      <c r="D18" s="44">
        <v>925.16666666666652</v>
      </c>
      <c r="E18" s="44">
        <v>0</v>
      </c>
      <c r="F18" s="44">
        <f>-(D18-(E18*Overall_ROR))/gross_up_factor</f>
        <v>-1493.6497685932623</v>
      </c>
    </row>
    <row r="19" spans="1:6" x14ac:dyDescent="0.2">
      <c r="A19" s="29">
        <f t="shared" si="1"/>
        <v>9</v>
      </c>
      <c r="B19" s="45">
        <v>3.9</v>
      </c>
      <c r="C19" s="31" t="s">
        <v>81</v>
      </c>
      <c r="D19" s="46">
        <v>16827.577914443347</v>
      </c>
      <c r="E19" s="46">
        <v>0</v>
      </c>
      <c r="F19" s="46">
        <f>-(D19-(E19*Overall_ROR))/gross_up_factor</f>
        <v>-27167.545874141666</v>
      </c>
    </row>
    <row r="20" spans="1:6" x14ac:dyDescent="0.2">
      <c r="A20" s="29">
        <f t="shared" si="1"/>
        <v>10</v>
      </c>
      <c r="B20" s="43"/>
      <c r="C20" s="37" t="s">
        <v>35</v>
      </c>
      <c r="D20" s="38">
        <f>SUM(D11:D19)</f>
        <v>1825673.9951528721</v>
      </c>
      <c r="E20" s="38">
        <f>SUM(E11:E19)</f>
        <v>-249924.71937285986</v>
      </c>
      <c r="F20" s="38">
        <f>SUM(F11:F19)</f>
        <v>-2978435.9398268834</v>
      </c>
    </row>
    <row r="21" spans="1:6" x14ac:dyDescent="0.2">
      <c r="A21" s="29">
        <f t="shared" si="1"/>
        <v>11</v>
      </c>
      <c r="D21" s="39"/>
      <c r="E21" s="39"/>
      <c r="F21" s="39"/>
    </row>
    <row r="22" spans="1:6" x14ac:dyDescent="0.2">
      <c r="A22" s="29">
        <f t="shared" si="1"/>
        <v>12</v>
      </c>
      <c r="B22" s="43">
        <v>4.0999999999999996</v>
      </c>
      <c r="C22" s="31" t="s">
        <v>82</v>
      </c>
      <c r="D22" s="39">
        <v>14374.098749112274</v>
      </c>
      <c r="E22" s="39">
        <v>0</v>
      </c>
      <c r="F22" s="39">
        <f t="shared" ref="F22:F34" si="2">-(D22-(E22*Overall_ROR))/gross_up_factor</f>
        <v>-23206.488132244551</v>
      </c>
    </row>
    <row r="23" spans="1:6" x14ac:dyDescent="0.2">
      <c r="A23" s="29">
        <f t="shared" si="1"/>
        <v>13</v>
      </c>
      <c r="B23" s="43">
        <v>4.2</v>
      </c>
      <c r="C23" s="31" t="s">
        <v>83</v>
      </c>
      <c r="D23" s="39">
        <v>30932.837736162648</v>
      </c>
      <c r="E23" s="39">
        <v>0</v>
      </c>
      <c r="F23" s="39">
        <f t="shared" si="2"/>
        <v>-49940.002802974894</v>
      </c>
    </row>
    <row r="24" spans="1:6" x14ac:dyDescent="0.2">
      <c r="A24" s="29">
        <f t="shared" si="1"/>
        <v>14</v>
      </c>
      <c r="B24" s="43">
        <v>4.3</v>
      </c>
      <c r="C24" s="31" t="s">
        <v>84</v>
      </c>
      <c r="D24" s="39">
        <v>-801978.73670690763</v>
      </c>
      <c r="E24" s="39">
        <v>0</v>
      </c>
      <c r="F24" s="39">
        <f>-(D24-(E24*Overall_ROR))/gross_up_factor</f>
        <v>1294767.0918742456</v>
      </c>
    </row>
    <row r="25" spans="1:6" x14ac:dyDescent="0.2">
      <c r="A25" s="29">
        <f t="shared" si="1"/>
        <v>15</v>
      </c>
      <c r="B25" s="43">
        <v>4.4000000000000004</v>
      </c>
      <c r="C25" s="31" t="s">
        <v>85</v>
      </c>
      <c r="D25" s="39">
        <v>3471.4899197574941</v>
      </c>
      <c r="E25" s="39">
        <v>0</v>
      </c>
      <c r="F25" s="39">
        <f>-(D25-(E25*Overall_ROR))/gross_up_factor</f>
        <v>-5604.6010974450992</v>
      </c>
    </row>
    <row r="26" spans="1:6" x14ac:dyDescent="0.2">
      <c r="A26" s="29">
        <f t="shared" si="1"/>
        <v>16</v>
      </c>
      <c r="B26" s="43">
        <v>4.5</v>
      </c>
      <c r="C26" s="31" t="s">
        <v>86</v>
      </c>
      <c r="D26" s="39">
        <v>-101033.78529856091</v>
      </c>
      <c r="E26" s="39">
        <v>0</v>
      </c>
      <c r="F26" s="39">
        <f t="shared" si="2"/>
        <v>163115.57200284294</v>
      </c>
    </row>
    <row r="27" spans="1:6" x14ac:dyDescent="0.2">
      <c r="A27" s="29">
        <f t="shared" si="1"/>
        <v>17</v>
      </c>
      <c r="B27" s="43">
        <v>4.5999999999999996</v>
      </c>
      <c r="C27" s="31" t="s">
        <v>87</v>
      </c>
      <c r="D27" s="39">
        <v>6923689.1386707202</v>
      </c>
      <c r="E27" s="39">
        <v>0</v>
      </c>
      <c r="F27" s="39">
        <f t="shared" si="2"/>
        <v>-11178058.021748016</v>
      </c>
    </row>
    <row r="28" spans="1:6" x14ac:dyDescent="0.2">
      <c r="A28" s="29">
        <f t="shared" si="1"/>
        <v>18</v>
      </c>
      <c r="B28" s="43">
        <v>4.7</v>
      </c>
      <c r="C28" s="31" t="s">
        <v>88</v>
      </c>
      <c r="D28" s="39">
        <v>1590632.8961953223</v>
      </c>
      <c r="E28" s="39">
        <v>0</v>
      </c>
      <c r="F28" s="39">
        <f t="shared" si="2"/>
        <v>-2568022.1120363618</v>
      </c>
    </row>
    <row r="29" spans="1:6" x14ac:dyDescent="0.2">
      <c r="A29" s="29">
        <f t="shared" si="1"/>
        <v>19</v>
      </c>
      <c r="B29" s="43">
        <v>4.8</v>
      </c>
      <c r="C29" s="31" t="s">
        <v>89</v>
      </c>
      <c r="D29" s="39">
        <v>261.26530187496314</v>
      </c>
      <c r="E29" s="39">
        <v>0</v>
      </c>
      <c r="F29" s="39">
        <f t="shared" si="2"/>
        <v>-421.80384545521986</v>
      </c>
    </row>
    <row r="30" spans="1:6" x14ac:dyDescent="0.2">
      <c r="A30" s="29">
        <f t="shared" si="1"/>
        <v>20</v>
      </c>
      <c r="B30" s="43">
        <v>4.9000000000000004</v>
      </c>
      <c r="C30" s="31" t="s">
        <v>90</v>
      </c>
      <c r="D30" s="39">
        <v>-972.74282173129757</v>
      </c>
      <c r="E30" s="39">
        <v>0</v>
      </c>
      <c r="F30" s="39">
        <f t="shared" si="2"/>
        <v>1570.4598348906968</v>
      </c>
    </row>
    <row r="31" spans="1:6" x14ac:dyDescent="0.2">
      <c r="A31" s="29">
        <f t="shared" si="1"/>
        <v>21</v>
      </c>
      <c r="B31" s="47">
        <v>4.0999999999999996</v>
      </c>
      <c r="C31" s="31" t="s">
        <v>91</v>
      </c>
      <c r="D31" s="39">
        <v>-274576.25423230953</v>
      </c>
      <c r="E31" s="39">
        <v>0</v>
      </c>
      <c r="F31" s="39">
        <f t="shared" si="2"/>
        <v>443293.92029756145</v>
      </c>
    </row>
    <row r="32" spans="1:6" x14ac:dyDescent="0.2">
      <c r="A32" s="29">
        <f t="shared" si="1"/>
        <v>22</v>
      </c>
      <c r="B32" s="43" t="s">
        <v>36</v>
      </c>
      <c r="C32" s="31" t="s">
        <v>92</v>
      </c>
      <c r="D32" s="39">
        <v>-60982.83889417944</v>
      </c>
      <c r="E32" s="39">
        <v>0</v>
      </c>
      <c r="F32" s="39">
        <f>-(D32-(E32*Overall_ROR))/gross_up_factor</f>
        <v>98454.696309621315</v>
      </c>
    </row>
    <row r="33" spans="1:6" x14ac:dyDescent="0.2">
      <c r="A33" s="29">
        <f t="shared" si="1"/>
        <v>23</v>
      </c>
      <c r="B33" s="43">
        <v>4.12</v>
      </c>
      <c r="C33" s="31" t="s">
        <v>93</v>
      </c>
      <c r="D33" s="39">
        <v>0</v>
      </c>
      <c r="E33" s="39">
        <v>0</v>
      </c>
      <c r="F33" s="39">
        <f t="shared" si="2"/>
        <v>0</v>
      </c>
    </row>
    <row r="34" spans="1:6" x14ac:dyDescent="0.2">
      <c r="A34" s="29">
        <f t="shared" si="1"/>
        <v>24</v>
      </c>
      <c r="B34" s="45" t="s">
        <v>37</v>
      </c>
      <c r="C34" s="31" t="s">
        <v>94</v>
      </c>
      <c r="D34" s="46">
        <v>-931910.12357579009</v>
      </c>
      <c r="E34" s="46">
        <v>0</v>
      </c>
      <c r="F34" s="46">
        <f t="shared" si="2"/>
        <v>1504536.8478782533</v>
      </c>
    </row>
    <row r="35" spans="1:6" x14ac:dyDescent="0.2">
      <c r="A35" s="29">
        <f t="shared" si="1"/>
        <v>25</v>
      </c>
      <c r="B35" s="43"/>
      <c r="C35" s="37" t="s">
        <v>38</v>
      </c>
      <c r="D35" s="48">
        <f>SUM(D22:D34)</f>
        <v>6391907.2450434705</v>
      </c>
      <c r="E35" s="48">
        <f>SUM(E22:E34)</f>
        <v>0</v>
      </c>
      <c r="F35" s="48">
        <f>SUM(F22:F34)</f>
        <v>-10319514.441465085</v>
      </c>
    </row>
    <row r="36" spans="1:6" x14ac:dyDescent="0.2">
      <c r="A36" s="29">
        <f t="shared" si="1"/>
        <v>26</v>
      </c>
      <c r="D36" s="39"/>
      <c r="E36" s="39"/>
      <c r="F36" s="39"/>
    </row>
    <row r="37" spans="1:6" x14ac:dyDescent="0.2">
      <c r="A37" s="29">
        <f t="shared" si="1"/>
        <v>27</v>
      </c>
      <c r="B37" s="43">
        <v>5.0999999999999996</v>
      </c>
      <c r="C37" s="31" t="s">
        <v>95</v>
      </c>
      <c r="D37" s="39">
        <v>7484567.7885333151</v>
      </c>
      <c r="E37" s="39">
        <v>0</v>
      </c>
      <c r="F37" s="39">
        <f t="shared" ref="F37:F40" si="3">-(D37-(E37*Overall_ROR))/gross_up_factor</f>
        <v>-12083577.314390242</v>
      </c>
    </row>
    <row r="38" spans="1:6" x14ac:dyDescent="0.2">
      <c r="A38" s="29">
        <f t="shared" si="1"/>
        <v>28</v>
      </c>
      <c r="B38" s="29" t="s">
        <v>39</v>
      </c>
      <c r="C38" s="31" t="s">
        <v>96</v>
      </c>
      <c r="D38" s="39">
        <v>-9066298.8286431581</v>
      </c>
      <c r="E38" s="39">
        <v>0</v>
      </c>
      <c r="F38" s="39">
        <f t="shared" si="3"/>
        <v>14637227.68589467</v>
      </c>
    </row>
    <row r="39" spans="1:6" x14ac:dyDescent="0.2">
      <c r="A39" s="29">
        <f t="shared" si="1"/>
        <v>29</v>
      </c>
      <c r="B39" s="43">
        <v>5.2</v>
      </c>
      <c r="C39" s="31" t="s">
        <v>97</v>
      </c>
      <c r="D39" s="39">
        <v>441933.97090947971</v>
      </c>
      <c r="E39" s="39">
        <v>0</v>
      </c>
      <c r="F39" s="39">
        <f t="shared" si="3"/>
        <v>-713487.19875602156</v>
      </c>
    </row>
    <row r="40" spans="1:6" x14ac:dyDescent="0.2">
      <c r="A40" s="29">
        <f t="shared" si="1"/>
        <v>30</v>
      </c>
      <c r="B40" s="43">
        <v>5.3</v>
      </c>
      <c r="C40" s="31" t="s">
        <v>98</v>
      </c>
      <c r="D40" s="46">
        <v>314398.52210624242</v>
      </c>
      <c r="E40" s="46">
        <v>-8567345.2846213318</v>
      </c>
      <c r="F40" s="46">
        <f t="shared" si="3"/>
        <v>-1568475.7917931848</v>
      </c>
    </row>
    <row r="41" spans="1:6" x14ac:dyDescent="0.2">
      <c r="A41" s="29">
        <f t="shared" si="1"/>
        <v>31</v>
      </c>
      <c r="B41" s="43"/>
      <c r="C41" s="37" t="s">
        <v>40</v>
      </c>
      <c r="D41" s="38">
        <f>SUM(D37:D40)</f>
        <v>-825398.54709412088</v>
      </c>
      <c r="E41" s="38">
        <f>SUM(E37:E40)</f>
        <v>-8567345.2846213318</v>
      </c>
      <c r="F41" s="38">
        <f>SUM(F37:F40)</f>
        <v>271687.3809552216</v>
      </c>
    </row>
    <row r="42" spans="1:6" x14ac:dyDescent="0.2">
      <c r="A42" s="29">
        <f t="shared" si="1"/>
        <v>32</v>
      </c>
      <c r="D42" s="39"/>
      <c r="E42" s="39"/>
      <c r="F42" s="39"/>
    </row>
    <row r="43" spans="1:6" x14ac:dyDescent="0.2">
      <c r="A43" s="29">
        <f t="shared" si="1"/>
        <v>33</v>
      </c>
      <c r="B43" s="45">
        <v>6.1</v>
      </c>
      <c r="C43" s="31" t="s">
        <v>41</v>
      </c>
      <c r="D43" s="44">
        <v>-3780.842571246576</v>
      </c>
      <c r="E43" s="44">
        <v>-212765.11892330143</v>
      </c>
      <c r="F43" s="44">
        <f t="shared" ref="F43:F44" si="4">-(D43-(E43*Overall_ROR))/gross_up_factor</f>
        <v>-20242.560623459227</v>
      </c>
    </row>
    <row r="44" spans="1:6" x14ac:dyDescent="0.2">
      <c r="A44" s="29">
        <f t="shared" si="1"/>
        <v>34</v>
      </c>
      <c r="B44" s="49" t="s">
        <v>42</v>
      </c>
      <c r="C44" s="50" t="s">
        <v>99</v>
      </c>
      <c r="D44" s="51">
        <v>0</v>
      </c>
      <c r="E44" s="51">
        <v>0</v>
      </c>
      <c r="F44" s="51">
        <f t="shared" si="4"/>
        <v>0</v>
      </c>
    </row>
    <row r="45" spans="1:6" x14ac:dyDescent="0.2">
      <c r="A45" s="29">
        <f t="shared" si="1"/>
        <v>35</v>
      </c>
      <c r="B45" s="49" t="s">
        <v>43</v>
      </c>
      <c r="C45" s="50" t="s">
        <v>100</v>
      </c>
      <c r="D45" s="51">
        <v>-886437.27354477905</v>
      </c>
      <c r="E45" s="51">
        <v>-886437.27354477916</v>
      </c>
      <c r="F45" s="51">
        <f t="shared" ref="F45:F47" si="5">-(D45-(E45*Overall_ROR))/gross_up_factor</f>
        <v>1321355.3998448411</v>
      </c>
    </row>
    <row r="46" spans="1:6" x14ac:dyDescent="0.2">
      <c r="A46" s="29">
        <f t="shared" si="1"/>
        <v>36</v>
      </c>
      <c r="B46" s="45" t="s">
        <v>44</v>
      </c>
      <c r="C46" s="31" t="s">
        <v>101</v>
      </c>
      <c r="D46" s="44">
        <v>74723.834586859637</v>
      </c>
      <c r="E46" s="44">
        <v>-143763.74042216278</v>
      </c>
      <c r="F46" s="44">
        <f t="shared" si="5"/>
        <v>-138441.25521026723</v>
      </c>
    </row>
    <row r="47" spans="1:6" x14ac:dyDescent="0.2">
      <c r="A47" s="29">
        <f t="shared" si="1"/>
        <v>37</v>
      </c>
      <c r="B47" s="45">
        <v>6.5</v>
      </c>
      <c r="C47" s="31" t="s">
        <v>45</v>
      </c>
      <c r="D47" s="46">
        <v>17448.548100164218</v>
      </c>
      <c r="E47" s="46">
        <v>-5336.1330876534175</v>
      </c>
      <c r="F47" s="46">
        <f t="shared" si="5"/>
        <v>-28830.85164350539</v>
      </c>
    </row>
    <row r="48" spans="1:6" x14ac:dyDescent="0.2">
      <c r="A48" s="29">
        <f t="shared" si="1"/>
        <v>38</v>
      </c>
      <c r="B48" s="43"/>
      <c r="C48" s="37" t="s">
        <v>46</v>
      </c>
      <c r="D48" s="38">
        <f t="shared" ref="D48:E48" si="6">SUM(D43:D47)</f>
        <v>-798045.73342900164</v>
      </c>
      <c r="E48" s="38">
        <f t="shared" si="6"/>
        <v>-1248302.2659778967</v>
      </c>
      <c r="F48" s="38">
        <f>SUM(F43:F47)</f>
        <v>1133840.7323676092</v>
      </c>
    </row>
    <row r="49" spans="1:6" x14ac:dyDescent="0.2">
      <c r="A49" s="29">
        <f t="shared" si="1"/>
        <v>39</v>
      </c>
      <c r="D49" s="39"/>
      <c r="E49" s="39"/>
      <c r="F49" s="39"/>
    </row>
    <row r="50" spans="1:6" x14ac:dyDescent="0.2">
      <c r="A50" s="29">
        <f t="shared" si="1"/>
        <v>40</v>
      </c>
      <c r="B50" s="53">
        <v>7.1</v>
      </c>
      <c r="C50" s="50" t="s">
        <v>102</v>
      </c>
      <c r="D50" s="52">
        <v>-305527.12535864225</v>
      </c>
      <c r="E50" s="52">
        <v>0</v>
      </c>
      <c r="F50" s="52">
        <f t="shared" ref="F50:F55" si="7">-(D50-(E50*Overall_ROR))/gross_up_factor</f>
        <v>493263.03738883155</v>
      </c>
    </row>
    <row r="51" spans="1:6" x14ac:dyDescent="0.2">
      <c r="A51" s="29">
        <f t="shared" si="1"/>
        <v>41</v>
      </c>
      <c r="B51" s="43">
        <v>7.2</v>
      </c>
      <c r="C51" s="31" t="s">
        <v>103</v>
      </c>
      <c r="D51" s="39">
        <v>-70365.75</v>
      </c>
      <c r="E51" s="39">
        <v>0</v>
      </c>
      <c r="F51" s="39">
        <f t="shared" si="7"/>
        <v>113603.0836293187</v>
      </c>
    </row>
    <row r="52" spans="1:6" x14ac:dyDescent="0.2">
      <c r="A52" s="29">
        <f t="shared" si="1"/>
        <v>42</v>
      </c>
      <c r="B52" s="43">
        <v>7.3</v>
      </c>
      <c r="C52" s="31" t="s">
        <v>104</v>
      </c>
      <c r="D52" s="39">
        <v>661916.82775972039</v>
      </c>
      <c r="E52" s="39">
        <v>0</v>
      </c>
      <c r="F52" s="39">
        <f t="shared" si="7"/>
        <v>-1068641.9563443984</v>
      </c>
    </row>
    <row r="53" spans="1:6" x14ac:dyDescent="0.2">
      <c r="A53" s="29">
        <f t="shared" si="1"/>
        <v>43</v>
      </c>
      <c r="B53" s="43">
        <v>7.4</v>
      </c>
      <c r="C53" s="31" t="s">
        <v>105</v>
      </c>
      <c r="D53" s="39">
        <v>0</v>
      </c>
      <c r="E53" s="39">
        <v>-1637024.0885679396</v>
      </c>
      <c r="F53" s="39">
        <f t="shared" si="7"/>
        <v>-202711.89472580072</v>
      </c>
    </row>
    <row r="54" spans="1:6" x14ac:dyDescent="0.2">
      <c r="A54" s="29">
        <f t="shared" si="1"/>
        <v>44</v>
      </c>
      <c r="B54" s="43">
        <v>7.5</v>
      </c>
      <c r="C54" s="31" t="s">
        <v>106</v>
      </c>
      <c r="D54" s="39">
        <v>-25872.6</v>
      </c>
      <c r="E54" s="39">
        <v>0</v>
      </c>
      <c r="F54" s="39">
        <f t="shared" si="7"/>
        <v>41770.422989990315</v>
      </c>
    </row>
    <row r="55" spans="1:6" x14ac:dyDescent="0.2">
      <c r="A55" s="29">
        <f t="shared" si="1"/>
        <v>45</v>
      </c>
      <c r="B55" s="29" t="s">
        <v>47</v>
      </c>
      <c r="C55" s="31" t="s">
        <v>107</v>
      </c>
      <c r="D55" s="39">
        <v>407648.85953784268</v>
      </c>
      <c r="E55" s="39">
        <v>-9662969.1539299972</v>
      </c>
      <c r="F55" s="39">
        <f t="shared" si="7"/>
        <v>-1854695.8244176195</v>
      </c>
    </row>
    <row r="56" spans="1:6" x14ac:dyDescent="0.2">
      <c r="A56" s="29">
        <f t="shared" si="1"/>
        <v>46</v>
      </c>
      <c r="B56" s="53">
        <v>7.7</v>
      </c>
      <c r="C56" s="50" t="s">
        <v>108</v>
      </c>
      <c r="D56" s="52">
        <v>496401</v>
      </c>
      <c r="E56" s="52">
        <v>248201</v>
      </c>
      <c r="F56" s="52">
        <f t="shared" ref="F56:F57" si="8">-(D56-(E56*Overall_ROR))/gross_up_factor</f>
        <v>-770687.7353890863</v>
      </c>
    </row>
    <row r="57" spans="1:6" x14ac:dyDescent="0.2">
      <c r="A57" s="29">
        <f t="shared" si="1"/>
        <v>47</v>
      </c>
      <c r="B57" s="43">
        <v>7.8</v>
      </c>
      <c r="C57" s="31" t="s">
        <v>109</v>
      </c>
      <c r="D57" s="46">
        <v>524709</v>
      </c>
      <c r="E57" s="46">
        <v>0</v>
      </c>
      <c r="F57" s="46">
        <f t="shared" si="8"/>
        <v>-847124.6367452374</v>
      </c>
    </row>
    <row r="58" spans="1:6" x14ac:dyDescent="0.2">
      <c r="A58" s="29">
        <f t="shared" si="1"/>
        <v>48</v>
      </c>
      <c r="B58" s="43"/>
      <c r="C58" s="37" t="s">
        <v>48</v>
      </c>
      <c r="D58" s="38">
        <f>SUM(D50:D57)</f>
        <v>1688910.2119389209</v>
      </c>
      <c r="E58" s="38">
        <f>SUM(E50:E57)</f>
        <v>-11051792.242497936</v>
      </c>
      <c r="F58" s="38">
        <f>SUM(F50:F57)</f>
        <v>-4095225.5036140019</v>
      </c>
    </row>
    <row r="59" spans="1:6" x14ac:dyDescent="0.2">
      <c r="A59" s="29">
        <f t="shared" si="1"/>
        <v>49</v>
      </c>
      <c r="D59" s="39"/>
      <c r="E59" s="39"/>
      <c r="F59" s="39"/>
    </row>
    <row r="60" spans="1:6" x14ac:dyDescent="0.2">
      <c r="A60" s="29">
        <f t="shared" si="1"/>
        <v>50</v>
      </c>
      <c r="B60" s="43">
        <v>8.1</v>
      </c>
      <c r="C60" s="31" t="s">
        <v>49</v>
      </c>
      <c r="D60" s="39">
        <v>-138614.57201924626</v>
      </c>
      <c r="E60" s="39">
        <v>26734872.303152114</v>
      </c>
      <c r="F60" s="39">
        <f t="shared" ref="F60:F71" si="9">-(D60-(E60*Overall_ROR))/gross_up_factor</f>
        <v>3534354.6620455501</v>
      </c>
    </row>
    <row r="61" spans="1:6" x14ac:dyDescent="0.2">
      <c r="A61" s="29">
        <f t="shared" si="1"/>
        <v>51</v>
      </c>
      <c r="B61" s="43">
        <v>8.1999999999999993</v>
      </c>
      <c r="C61" s="31" t="s">
        <v>50</v>
      </c>
      <c r="D61" s="39">
        <v>-171516.53619326494</v>
      </c>
      <c r="E61" s="39">
        <v>-250034.33575255581</v>
      </c>
      <c r="F61" s="39">
        <f t="shared" si="9"/>
        <v>245945.91966587654</v>
      </c>
    </row>
    <row r="62" spans="1:6" x14ac:dyDescent="0.2">
      <c r="A62" s="29">
        <f t="shared" si="1"/>
        <v>52</v>
      </c>
      <c r="B62" s="43">
        <v>8.3000000000000007</v>
      </c>
      <c r="C62" s="31" t="s">
        <v>51</v>
      </c>
      <c r="D62" s="39">
        <v>0</v>
      </c>
      <c r="E62" s="39">
        <v>-481414.22831967368</v>
      </c>
      <c r="F62" s="39">
        <f t="shared" si="9"/>
        <v>-59613.289170356751</v>
      </c>
    </row>
    <row r="63" spans="1:6" x14ac:dyDescent="0.2">
      <c r="A63" s="29">
        <f t="shared" si="1"/>
        <v>53</v>
      </c>
      <c r="B63" s="45" t="s">
        <v>52</v>
      </c>
      <c r="C63" s="31" t="s">
        <v>53</v>
      </c>
      <c r="D63" s="39">
        <v>-516665.46632821439</v>
      </c>
      <c r="E63" s="39">
        <v>24199537.707629103</v>
      </c>
      <c r="F63" s="39">
        <f t="shared" si="9"/>
        <v>3830755.5836347546</v>
      </c>
    </row>
    <row r="64" spans="1:6" x14ac:dyDescent="0.2">
      <c r="A64" s="29">
        <f t="shared" si="1"/>
        <v>54</v>
      </c>
      <c r="B64" s="45" t="s">
        <v>54</v>
      </c>
      <c r="C64" s="31" t="s">
        <v>55</v>
      </c>
      <c r="D64" s="39">
        <v>0</v>
      </c>
      <c r="E64" s="39">
        <v>-20135895.139993634</v>
      </c>
      <c r="F64" s="39">
        <f t="shared" si="9"/>
        <v>-2493418.0775549109</v>
      </c>
    </row>
    <row r="65" spans="1:6" x14ac:dyDescent="0.2">
      <c r="A65" s="29">
        <f t="shared" si="1"/>
        <v>55</v>
      </c>
      <c r="B65" s="43">
        <v>8.6</v>
      </c>
      <c r="C65" s="31" t="s">
        <v>56</v>
      </c>
      <c r="D65" s="39">
        <v>-58361.274086542442</v>
      </c>
      <c r="E65" s="39">
        <v>97700.229568832146</v>
      </c>
      <c r="F65" s="39">
        <f t="shared" si="9"/>
        <v>106320.44187031301</v>
      </c>
    </row>
    <row r="66" spans="1:6" x14ac:dyDescent="0.2">
      <c r="A66" s="29">
        <f t="shared" si="1"/>
        <v>56</v>
      </c>
      <c r="B66" s="43">
        <v>8.6999999999999993</v>
      </c>
      <c r="C66" s="31" t="s">
        <v>57</v>
      </c>
      <c r="D66" s="39">
        <v>17990.552800000001</v>
      </c>
      <c r="E66" s="39">
        <v>-360048.63899999904</v>
      </c>
      <c r="F66" s="39">
        <f t="shared" si="9"/>
        <v>-73629.776253309537</v>
      </c>
    </row>
    <row r="67" spans="1:6" x14ac:dyDescent="0.2">
      <c r="A67" s="29">
        <f t="shared" si="1"/>
        <v>57</v>
      </c>
      <c r="B67" s="43">
        <v>8.8000000000000007</v>
      </c>
      <c r="C67" s="31" t="s">
        <v>58</v>
      </c>
      <c r="D67" s="39">
        <v>-99761.9</v>
      </c>
      <c r="E67" s="39">
        <v>-83642.64791666661</v>
      </c>
      <c r="F67" s="39">
        <f t="shared" si="9"/>
        <v>150704.72861606666</v>
      </c>
    </row>
    <row r="68" spans="1:6" x14ac:dyDescent="0.2">
      <c r="A68" s="29">
        <f t="shared" si="1"/>
        <v>58</v>
      </c>
      <c r="B68" s="43">
        <v>8.9</v>
      </c>
      <c r="C68" s="31" t="s">
        <v>59</v>
      </c>
      <c r="D68" s="39">
        <v>-2710.0887272727277</v>
      </c>
      <c r="E68" s="39">
        <v>-3361133.729166666</v>
      </c>
      <c r="F68" s="39">
        <f t="shared" si="9"/>
        <v>-411832.2058440597</v>
      </c>
    </row>
    <row r="69" spans="1:6" x14ac:dyDescent="0.2">
      <c r="A69" s="29">
        <f t="shared" si="1"/>
        <v>59</v>
      </c>
      <c r="B69" s="43">
        <v>8.1</v>
      </c>
      <c r="C69" s="31" t="s">
        <v>60</v>
      </c>
      <c r="D69" s="39">
        <v>-1950000</v>
      </c>
      <c r="E69" s="39">
        <v>0</v>
      </c>
      <c r="F69" s="39">
        <f t="shared" si="9"/>
        <v>3148207.9431708106</v>
      </c>
    </row>
    <row r="70" spans="1:6" x14ac:dyDescent="0.2">
      <c r="A70" s="29">
        <f t="shared" si="1"/>
        <v>60</v>
      </c>
      <c r="B70" s="43">
        <v>8.11</v>
      </c>
      <c r="C70" s="31" t="s">
        <v>61</v>
      </c>
      <c r="D70" s="39">
        <v>4539.7498763290314</v>
      </c>
      <c r="E70" s="39">
        <v>0</v>
      </c>
      <c r="F70" s="39">
        <f t="shared" si="9"/>
        <v>-7329.270061880904</v>
      </c>
    </row>
    <row r="71" spans="1:6" x14ac:dyDescent="0.2">
      <c r="A71" s="29">
        <f t="shared" si="1"/>
        <v>61</v>
      </c>
      <c r="B71" s="53" t="s">
        <v>62</v>
      </c>
      <c r="C71" s="50" t="s">
        <v>110</v>
      </c>
      <c r="D71" s="51">
        <v>0</v>
      </c>
      <c r="E71" s="51">
        <v>0</v>
      </c>
      <c r="F71" s="51">
        <f t="shared" si="9"/>
        <v>0</v>
      </c>
    </row>
    <row r="72" spans="1:6" x14ac:dyDescent="0.2">
      <c r="A72" s="29">
        <f t="shared" si="1"/>
        <v>62</v>
      </c>
      <c r="B72" s="43">
        <v>8.1300000000000008</v>
      </c>
      <c r="C72" s="31" t="s">
        <v>63</v>
      </c>
      <c r="D72" s="46">
        <v>0</v>
      </c>
      <c r="E72" s="46">
        <v>31018483.084840588</v>
      </c>
      <c r="F72" s="46">
        <f t="shared" ref="F72" si="10">-(D72-(E72*Overall_ROR))/gross_up_factor</f>
        <v>3841003.6367569803</v>
      </c>
    </row>
    <row r="73" spans="1:6" x14ac:dyDescent="0.2">
      <c r="A73" s="29">
        <f t="shared" si="1"/>
        <v>63</v>
      </c>
      <c r="B73" s="43"/>
      <c r="C73" s="37" t="s">
        <v>64</v>
      </c>
      <c r="D73" s="38">
        <f>SUM(D60:D72)</f>
        <v>-2915099.5346782114</v>
      </c>
      <c r="E73" s="38">
        <f>SUM(E60:E72)</f>
        <v>57378424.605041444</v>
      </c>
      <c r="F73" s="38">
        <f>SUM(F60:F72)</f>
        <v>11811470.296875833</v>
      </c>
    </row>
    <row r="74" spans="1:6" x14ac:dyDescent="0.2">
      <c r="A74" s="29">
        <f t="shared" si="1"/>
        <v>64</v>
      </c>
      <c r="B74" s="43"/>
      <c r="C74" s="37"/>
      <c r="D74" s="38"/>
      <c r="E74" s="38"/>
      <c r="F74" s="38"/>
    </row>
    <row r="75" spans="1:6" x14ac:dyDescent="0.2">
      <c r="A75" s="29">
        <f t="shared" si="1"/>
        <v>65</v>
      </c>
      <c r="B75" s="45" t="s">
        <v>65</v>
      </c>
      <c r="C75" s="31" t="s">
        <v>66</v>
      </c>
      <c r="D75" s="46">
        <v>-676646.17740516842</v>
      </c>
      <c r="E75" s="46">
        <v>187062.42567696606</v>
      </c>
      <c r="F75" s="46">
        <f t="shared" ref="F75" si="11">-(D75-(E75*Overall_ROR))/gross_up_factor</f>
        <v>1115585.8337981785</v>
      </c>
    </row>
    <row r="76" spans="1:6" x14ac:dyDescent="0.2">
      <c r="A76" s="29">
        <f t="shared" si="1"/>
        <v>66</v>
      </c>
      <c r="B76" s="43"/>
      <c r="C76" s="37" t="s">
        <v>67</v>
      </c>
      <c r="D76" s="38">
        <f>SUM(D75)</f>
        <v>-676646.17740516842</v>
      </c>
      <c r="E76" s="38">
        <f>SUM(E75)</f>
        <v>187062.42567696606</v>
      </c>
      <c r="F76" s="38">
        <f>SUM(F75)</f>
        <v>1115585.8337981785</v>
      </c>
    </row>
    <row r="77" spans="1:6" x14ac:dyDescent="0.2">
      <c r="A77" s="29">
        <f t="shared" ref="A77:A86" si="12">A76+1</f>
        <v>67</v>
      </c>
      <c r="D77" s="39"/>
      <c r="E77" s="39"/>
      <c r="F77" s="39"/>
    </row>
    <row r="78" spans="1:6" x14ac:dyDescent="0.2">
      <c r="A78" s="29">
        <f t="shared" si="12"/>
        <v>68</v>
      </c>
      <c r="D78" s="44"/>
      <c r="E78" s="44"/>
      <c r="F78" s="44"/>
    </row>
    <row r="79" spans="1:6" x14ac:dyDescent="0.2">
      <c r="A79" s="29">
        <f t="shared" si="12"/>
        <v>69</v>
      </c>
      <c r="C79" s="54" t="s">
        <v>68</v>
      </c>
      <c r="D79" s="48">
        <f>D20+D35+D41+D48+D58+D73+D76</f>
        <v>4691301.4595287619</v>
      </c>
      <c r="E79" s="48">
        <f>E20+E35+E41+E48+E58+E73+E76</f>
        <v>36448122.518248387</v>
      </c>
      <c r="F79" s="48">
        <f>F20+F35+F41+F48+F58+F73+F76</f>
        <v>-3060591.6409091288</v>
      </c>
    </row>
    <row r="80" spans="1:6" x14ac:dyDescent="0.2">
      <c r="A80" s="29">
        <f t="shared" si="12"/>
        <v>70</v>
      </c>
      <c r="C80" s="54"/>
      <c r="D80" s="48"/>
      <c r="E80" s="48"/>
      <c r="F80" s="48"/>
    </row>
    <row r="81" spans="1:6" s="55" customFormat="1" x14ac:dyDescent="0.2">
      <c r="A81" s="29">
        <f t="shared" si="12"/>
        <v>71</v>
      </c>
      <c r="C81" s="56" t="s">
        <v>69</v>
      </c>
      <c r="D81" s="56">
        <f>D8+D79</f>
        <v>45081079.459528759</v>
      </c>
      <c r="E81" s="56">
        <f>E8+E79</f>
        <v>824704494.51824844</v>
      </c>
      <c r="F81" s="56">
        <f>F8+F79</f>
        <v>29340902.922216479</v>
      </c>
    </row>
    <row r="82" spans="1:6" x14ac:dyDescent="0.2">
      <c r="A82" s="29">
        <f t="shared" si="12"/>
        <v>72</v>
      </c>
      <c r="C82" s="54"/>
      <c r="D82" s="48"/>
      <c r="E82" s="48"/>
      <c r="F82" s="48"/>
    </row>
    <row r="83" spans="1:6" x14ac:dyDescent="0.2">
      <c r="A83" s="29">
        <f t="shared" si="12"/>
        <v>73</v>
      </c>
      <c r="C83" s="54"/>
      <c r="D83" s="48"/>
      <c r="E83" s="48"/>
      <c r="F83" s="48"/>
    </row>
    <row r="84" spans="1:6" x14ac:dyDescent="0.2">
      <c r="A84" s="29">
        <f t="shared" si="12"/>
        <v>74</v>
      </c>
      <c r="B84" s="32" t="s">
        <v>70</v>
      </c>
    </row>
    <row r="85" spans="1:6" x14ac:dyDescent="0.2">
      <c r="A85" s="29">
        <f t="shared" si="12"/>
        <v>75</v>
      </c>
      <c r="B85" s="32" t="s">
        <v>71</v>
      </c>
    </row>
    <row r="86" spans="1:6" x14ac:dyDescent="0.2">
      <c r="A86" s="29">
        <f t="shared" si="12"/>
        <v>76</v>
      </c>
      <c r="B86" s="32" t="s">
        <v>72</v>
      </c>
    </row>
  </sheetData>
  <mergeCells count="1">
    <mergeCell ref="A3:F4"/>
  </mergeCells>
  <pageMargins left="1" right="0.5" top="0.75" bottom="0.75" header="0.3" footer="0.3"/>
  <pageSetup scale="70" orientation="portrait" r:id="rId1"/>
  <headerFooter scaleWithDoc="0">
    <oddHeader>&amp;L&amp;"Arial,Bold"WA UE-140762&amp;C&amp;"Arial,Bold"Attachment Bench Request 12-1</oddHeader>
    <oddFooter xml:space="preserve">&amp;L &amp;R 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5"/>
  <sheetViews>
    <sheetView tabSelected="1" workbookViewId="0">
      <selection activeCell="C97" sqref="C97"/>
    </sheetView>
  </sheetViews>
  <sheetFormatPr defaultRowHeight="12.75" x14ac:dyDescent="0.2"/>
  <cols>
    <col min="1" max="1" width="3.85546875" style="2" customWidth="1"/>
    <col min="2" max="4" width="15.7109375" style="2" customWidth="1"/>
    <col min="5" max="5" width="13.42578125" style="2" bestFit="1" customWidth="1"/>
    <col min="6" max="16384" width="9.140625" style="2"/>
  </cols>
  <sheetData>
    <row r="1" spans="2:5" x14ac:dyDescent="0.2">
      <c r="B1" s="1" t="s">
        <v>0</v>
      </c>
    </row>
    <row r="2" spans="2:5" x14ac:dyDescent="0.2">
      <c r="B2" s="1" t="s">
        <v>1</v>
      </c>
    </row>
    <row r="3" spans="2:5" x14ac:dyDescent="0.2">
      <c r="B3" s="1" t="s">
        <v>2</v>
      </c>
    </row>
    <row r="4" spans="2:5" x14ac:dyDescent="0.2">
      <c r="B4" s="3" t="s">
        <v>3</v>
      </c>
    </row>
    <row r="6" spans="2:5" x14ac:dyDescent="0.2">
      <c r="B6" s="4" t="s">
        <v>4</v>
      </c>
      <c r="C6" s="5"/>
      <c r="D6" s="5"/>
      <c r="E6" s="5"/>
    </row>
    <row r="7" spans="2:5" s="8" customFormat="1" x14ac:dyDescent="0.2">
      <c r="B7" s="6"/>
      <c r="C7" s="6" t="s">
        <v>5</v>
      </c>
      <c r="D7" s="7" t="s">
        <v>6</v>
      </c>
      <c r="E7" s="6" t="s">
        <v>7</v>
      </c>
    </row>
    <row r="8" spans="2:5" x14ac:dyDescent="0.2">
      <c r="B8" s="9" t="s">
        <v>8</v>
      </c>
      <c r="C8" s="10">
        <v>0.48250000000000004</v>
      </c>
      <c r="D8" s="11">
        <v>5.1799999999999999E-2</v>
      </c>
      <c r="E8" s="12">
        <f>C8*D8</f>
        <v>2.4993500000000002E-2</v>
      </c>
    </row>
    <row r="9" spans="2:5" x14ac:dyDescent="0.2">
      <c r="B9" s="9" t="s">
        <v>9</v>
      </c>
      <c r="C9" s="10">
        <v>2.0000000000000001E-4</v>
      </c>
      <c r="D9" s="11">
        <v>6.7500000000000004E-2</v>
      </c>
      <c r="E9" s="12">
        <f>C9*D9</f>
        <v>1.3500000000000001E-5</v>
      </c>
    </row>
    <row r="10" spans="2:5" x14ac:dyDescent="0.2">
      <c r="B10" s="13" t="s">
        <v>10</v>
      </c>
      <c r="C10" s="14">
        <v>0.51729999999999998</v>
      </c>
      <c r="D10" s="15">
        <v>0.1</v>
      </c>
      <c r="E10" s="16">
        <f>C10*D10</f>
        <v>5.1729999999999998E-2</v>
      </c>
    </row>
    <row r="11" spans="2:5" x14ac:dyDescent="0.2">
      <c r="E11" s="17">
        <f>ROUND(SUM(E8:E10),4)</f>
        <v>7.6700000000000004E-2</v>
      </c>
    </row>
    <row r="16" spans="2:5" x14ac:dyDescent="0.2">
      <c r="B16" s="18" t="s">
        <v>11</v>
      </c>
      <c r="C16" s="19"/>
    </row>
    <row r="17" spans="2:6" x14ac:dyDescent="0.2">
      <c r="B17" s="2" t="s">
        <v>12</v>
      </c>
      <c r="D17" s="20">
        <v>1</v>
      </c>
    </row>
    <row r="18" spans="2:6" x14ac:dyDescent="0.2">
      <c r="D18" s="20"/>
    </row>
    <row r="19" spans="2:6" x14ac:dyDescent="0.2">
      <c r="B19" s="2" t="s">
        <v>13</v>
      </c>
      <c r="D19" s="20"/>
    </row>
    <row r="20" spans="2:6" x14ac:dyDescent="0.2">
      <c r="B20" s="2" t="s">
        <v>14</v>
      </c>
      <c r="D20" s="21">
        <v>6.3400000000000001E-3</v>
      </c>
      <c r="F20" s="22"/>
    </row>
    <row r="21" spans="2:6" x14ac:dyDescent="0.2">
      <c r="B21" s="2" t="s">
        <v>15</v>
      </c>
      <c r="D21" s="21">
        <v>2E-3</v>
      </c>
    </row>
    <row r="22" spans="2:6" x14ac:dyDescent="0.2">
      <c r="B22" s="2" t="s">
        <v>16</v>
      </c>
      <c r="D22" s="21">
        <v>3.8730000000000001E-2</v>
      </c>
    </row>
    <row r="23" spans="2:6" x14ac:dyDescent="0.2">
      <c r="B23" s="2" t="s">
        <v>17</v>
      </c>
      <c r="D23" s="21">
        <v>0</v>
      </c>
    </row>
    <row r="24" spans="2:6" x14ac:dyDescent="0.2">
      <c r="B24" s="2" t="s">
        <v>18</v>
      </c>
      <c r="D24" s="15">
        <v>0</v>
      </c>
    </row>
    <row r="25" spans="2:6" x14ac:dyDescent="0.2">
      <c r="D25" s="20"/>
    </row>
    <row r="26" spans="2:6" x14ac:dyDescent="0.2">
      <c r="B26" s="2" t="s">
        <v>19</v>
      </c>
      <c r="D26" s="23">
        <f>D17-SUM(D19:D24)</f>
        <v>0.95293000000000005</v>
      </c>
    </row>
    <row r="27" spans="2:6" x14ac:dyDescent="0.2">
      <c r="D27" s="20"/>
    </row>
    <row r="28" spans="2:6" x14ac:dyDescent="0.2">
      <c r="B28" s="2" t="s">
        <v>20</v>
      </c>
      <c r="D28" s="24">
        <v>0</v>
      </c>
    </row>
    <row r="29" spans="2:6" x14ac:dyDescent="0.2">
      <c r="D29" s="20"/>
    </row>
    <row r="30" spans="2:6" x14ac:dyDescent="0.2">
      <c r="B30" s="2" t="s">
        <v>19</v>
      </c>
      <c r="D30" s="23">
        <f>D26-D28</f>
        <v>0.95293000000000005</v>
      </c>
    </row>
    <row r="31" spans="2:6" x14ac:dyDescent="0.2">
      <c r="D31" s="20"/>
    </row>
    <row r="32" spans="2:6" x14ac:dyDescent="0.2">
      <c r="B32" s="2" t="s">
        <v>21</v>
      </c>
      <c r="D32" s="24">
        <f>D30*0.35</f>
        <v>0.33352549999999997</v>
      </c>
    </row>
    <row r="33" spans="2:4" x14ac:dyDescent="0.2">
      <c r="D33" s="25"/>
    </row>
    <row r="34" spans="2:4" ht="13.5" thickBot="1" x14ac:dyDescent="0.25">
      <c r="B34" s="2" t="s">
        <v>22</v>
      </c>
      <c r="D34" s="26">
        <f>ROUND(D30-D32,5)</f>
        <v>0.61939999999999995</v>
      </c>
    </row>
    <row r="35" spans="2:4" ht="13.5" thickTop="1" x14ac:dyDescent="0.2">
      <c r="D35" s="27"/>
    </row>
  </sheetData>
  <pageMargins left="1" right="0.5" top="0.75" bottom="0.75" header="0.3" footer="0.3"/>
  <pageSetup orientation="portrait" r:id="rId1"/>
  <headerFooter scaleWithDoc="0">
    <oddHeader>&amp;L&amp;"Arial,Bold"WA UE-140762&amp;C&amp;"Arial,Bold"Attachment Bench Request 12-1</oddHeader>
    <oddFooter xml:space="preserve">&amp;L &amp;R 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2014-05-01T07:00:00+00:00</OpenedDate>
    <Date1 xmlns="dc463f71-b30c-4ab2-9473-d307f9d35888">2015-03-10T07:00:00+00:00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140762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7932BF0E43BA441AC308742D5F08A91" ma:contentTypeVersion="175" ma:contentTypeDescription="" ma:contentTypeScope="" ma:versionID="48cf33efac28346d280b5c0ff7062d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98E41C-3EA8-49EE-936C-3516B3421BF7}"/>
</file>

<file path=customXml/itemProps2.xml><?xml version="1.0" encoding="utf-8"?>
<ds:datastoreItem xmlns:ds="http://schemas.openxmlformats.org/officeDocument/2006/customXml" ds:itemID="{C6C9752A-DBD6-4FE3-B96B-84396913BEC3}"/>
</file>

<file path=customXml/itemProps3.xml><?xml version="1.0" encoding="utf-8"?>
<ds:datastoreItem xmlns:ds="http://schemas.openxmlformats.org/officeDocument/2006/customXml" ds:itemID="{DA03C8B5-6478-4FDA-BE80-09D6FCFCBBA4}"/>
</file>

<file path=customXml/itemProps4.xml><?xml version="1.0" encoding="utf-8"?>
<ds:datastoreItem xmlns:ds="http://schemas.openxmlformats.org/officeDocument/2006/customXml" ds:itemID="{C407D61A-7877-4E77-B3F9-7EC55D0774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15</vt:i4>
      </vt:variant>
    </vt:vector>
  </HeadingPairs>
  <TitlesOfParts>
    <vt:vector size="17" baseType="lpstr">
      <vt:lpstr>Rev Req Adj Summary</vt:lpstr>
      <vt:lpstr>Variables</vt:lpstr>
      <vt:lpstr>Cost_Debt</vt:lpstr>
      <vt:lpstr>Cost_equity</vt:lpstr>
      <vt:lpstr>Cost_pref</vt:lpstr>
      <vt:lpstr>gross_up_factor</vt:lpstr>
      <vt:lpstr>Overall_ROR</vt:lpstr>
      <vt:lpstr>Percent_common</vt:lpstr>
      <vt:lpstr>Percent_debt</vt:lpstr>
      <vt:lpstr>Percent_pref</vt:lpstr>
      <vt:lpstr>'Rev Req Adj Summary'!Print_Area</vt:lpstr>
      <vt:lpstr>uncollectible_perc</vt:lpstr>
      <vt:lpstr>WA_rev_tax_perc</vt:lpstr>
      <vt:lpstr>Weighted_cost_debt</vt:lpstr>
      <vt:lpstr>Weighted_cost_equity</vt:lpstr>
      <vt:lpstr>Weighted_cost_pref</vt:lpstr>
      <vt:lpstr>WUTC_reg_fee_perc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2015-03-10T17:59:10Z</dcterms:created>
  <dcterms:modified xsi:type="dcterms:W3CDTF">2015-03-10T17:59:14Z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0x0101006E56B4D1795A2E4DB2F0B01679ED314A00F7932BF0E43BA441AC308742D5F08A91</vt:lpwstr>
  </property>
  <property fmtid="{D5CDD505-2E9C-101B-9397-08002B2CF9AE}" pid="3" name="_docset_NoMedatataSyncRequired">
    <vt:lpwstr>False</vt:lpwstr>
  </property>
</Properties>
</file>