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ket notes\UE-150204 UG-150205 Avista GRC\Workpaper drafts\PF-CAPITAL PROJECTS - Staff\"/>
    </mc:Choice>
  </mc:AlternateContent>
  <bookViews>
    <workbookView xWindow="24255" yWindow="-90" windowWidth="23670" windowHeight="11760" tabRatio="599" activeTab="1"/>
  </bookViews>
  <sheets>
    <sheet name="E-CAP SUMMARY" sheetId="8" r:id="rId1"/>
    <sheet name="G-CAP SUMMARY" sheetId="9" r:id="rId2"/>
    <sheet name="Recreate DR 131 Att. D Pg 13" sheetId="23" r:id="rId3"/>
    <sheet name="E-CAP14, G-CAP14" sheetId="12" r:id="rId4"/>
    <sheet name="E-CAP15, G-CAP-15" sheetId="14" r:id="rId5"/>
    <sheet name="E-CAP16, G-CAP16" sheetId="13" r:id="rId6"/>
    <sheet name="CAP16 AMI" sheetId="18" r:id="rId7"/>
    <sheet name="Recreate 3.12U " sheetId="21" r:id="rId8"/>
    <sheet name="Recreate Gas 3.07U" sheetId="22" r:id="rId9"/>
    <sheet name="Recreate DR 131 Att. D Pg 7" sheetId="20" r:id="rId10"/>
  </sheets>
  <externalReferences>
    <externalReference r:id="rId11"/>
    <externalReference r:id="rId12"/>
    <externalReference r:id="rId13"/>
    <externalReference r:id="rId14"/>
  </externalReferences>
  <definedNames>
    <definedName name="_xlnm._FilterDatabase" localSheetId="6" hidden="1">'CAP16 AMI'!$A$10:$A$10</definedName>
    <definedName name="_xlnm._FilterDatabase" localSheetId="3" hidden="1">'E-CAP14, G-CAP14'!$A$11:$A$11</definedName>
    <definedName name="_xlnm._FilterDatabase" localSheetId="4" hidden="1">'E-CAP15, G-CAP-15'!$A$11:$A$11</definedName>
    <definedName name="_xlnm._FilterDatabase" localSheetId="5" hidden="1">'E-CAP16, G-CAP16'!$A$11:$A$11</definedName>
    <definedName name="_xlnm.Auto_Open" localSheetId="6">#REF!</definedName>
    <definedName name="_xlnm.Auto_Open" localSheetId="4">#REF!</definedName>
    <definedName name="_xlnm.Auto_Open" localSheetId="5">#REF!</definedName>
    <definedName name="_xlnm.Auto_Open" localSheetId="2">#REF!</definedName>
    <definedName name="_xlnm.Auto_Open" localSheetId="8">#REF!</definedName>
    <definedName name="_xlnm.Auto_Open">#REF!</definedName>
    <definedName name="Macro1" localSheetId="6">#REF!</definedName>
    <definedName name="Macro1" localSheetId="4">#REF!</definedName>
    <definedName name="Macro1" localSheetId="5">#REF!</definedName>
    <definedName name="Macro1" localSheetId="2">#REF!</definedName>
    <definedName name="Macro1" localSheetId="8">#REF!</definedName>
    <definedName name="Macro1">#REF!</definedName>
    <definedName name="Macro2" localSheetId="6">#REF!</definedName>
    <definedName name="Macro2" localSheetId="4">#REF!</definedName>
    <definedName name="Macro2" localSheetId="5">#REF!</definedName>
    <definedName name="Macro2" localSheetId="2">#REF!</definedName>
    <definedName name="Macro2" localSheetId="8">#REF!</definedName>
    <definedName name="Macro2">#REF!</definedName>
    <definedName name="Macro3" localSheetId="6">#REF!</definedName>
    <definedName name="Macro3" localSheetId="4">#REF!</definedName>
    <definedName name="Macro3" localSheetId="5">#REF!</definedName>
    <definedName name="Macro3" localSheetId="2">#REF!</definedName>
    <definedName name="Macro3" localSheetId="8">#REF!</definedName>
    <definedName name="Macro3">#REF!</definedName>
    <definedName name="Macro4" localSheetId="6">#REF!</definedName>
    <definedName name="Macro4" localSheetId="4">#REF!</definedName>
    <definedName name="Macro4" localSheetId="5">#REF!</definedName>
    <definedName name="Macro4" localSheetId="2">#REF!</definedName>
    <definedName name="Macro4" localSheetId="8">#REF!</definedName>
    <definedName name="Macro4">#REF!</definedName>
    <definedName name="Macro5" localSheetId="6">#REF!</definedName>
    <definedName name="Macro5" localSheetId="4">#REF!</definedName>
    <definedName name="Macro5" localSheetId="5">#REF!</definedName>
    <definedName name="Macro5" localSheetId="2">#REF!</definedName>
    <definedName name="Macro5" localSheetId="8">#REF!</definedName>
    <definedName name="Macro5">#REF!</definedName>
    <definedName name="Macro6" localSheetId="6">#REF!</definedName>
    <definedName name="Macro6" localSheetId="4">#REF!</definedName>
    <definedName name="Macro6" localSheetId="5">#REF!</definedName>
    <definedName name="Macro6" localSheetId="2">#REF!</definedName>
    <definedName name="Macro6" localSheetId="8">#REF!</definedName>
    <definedName name="Macro6">#REF!</definedName>
    <definedName name="Macro7" localSheetId="6">#REF!</definedName>
    <definedName name="Macro7" localSheetId="4">#REF!</definedName>
    <definedName name="Macro7" localSheetId="5">#REF!</definedName>
    <definedName name="Macro7" localSheetId="2">#REF!</definedName>
    <definedName name="Macro7" localSheetId="8">#REF!</definedName>
    <definedName name="Macro7">#REF!</definedName>
    <definedName name="Macro8" localSheetId="6">#REF!</definedName>
    <definedName name="Macro8" localSheetId="4">#REF!</definedName>
    <definedName name="Macro8" localSheetId="5">#REF!</definedName>
    <definedName name="Macro8" localSheetId="2">#REF!</definedName>
    <definedName name="Macro8" localSheetId="8">#REF!</definedName>
    <definedName name="Macro8">#REF!</definedName>
    <definedName name="_xlnm.Print_Area" localSheetId="6">'CAP16 AMI'!$A$1:$T$53</definedName>
    <definedName name="_xlnm.Print_Area" localSheetId="0">'E-CAP SUMMARY'!$A$1:$AE$51</definedName>
    <definedName name="_xlnm.Print_Area" localSheetId="3">'E-CAP14, G-CAP14'!$A$1:$AA$57</definedName>
    <definedName name="_xlnm.Print_Area" localSheetId="4">'E-CAP15, G-CAP-15'!$A$1:$X$60</definedName>
    <definedName name="_xlnm.Print_Area" localSheetId="5">'E-CAP16, G-CAP16'!$A$1:$U$54</definedName>
    <definedName name="_xlnm.Print_Titles" localSheetId="0">'E-CAP SUMMARY'!$A:$A,'E-CAP SUMMARY'!$5:$8</definedName>
    <definedName name="_xlnm.Print_Titles" localSheetId="1">'G-CAP SUMMARY'!$A:$A,'G-CAP SUMMARY'!$5:$8</definedName>
    <definedName name="Recover" localSheetId="6">#REF!</definedName>
    <definedName name="Recover" localSheetId="4">#REF!</definedName>
    <definedName name="Recover" localSheetId="5">#REF!</definedName>
    <definedName name="Recover" localSheetId="2">#REF!</definedName>
    <definedName name="Recover" localSheetId="8">#REF!</definedName>
    <definedName name="Recover">#REF!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W53" i="14" l="1"/>
  <c r="W51" i="14"/>
  <c r="W46" i="14"/>
  <c r="W41" i="14"/>
  <c r="W18" i="14"/>
  <c r="W32" i="14"/>
  <c r="W30" i="14"/>
  <c r="W25" i="14"/>
  <c r="W21" i="14"/>
  <c r="W15" i="14"/>
  <c r="W14" i="14"/>
  <c r="W16" i="14"/>
  <c r="W13" i="14"/>
  <c r="S38" i="9" l="1"/>
  <c r="S37" i="9"/>
  <c r="S39" i="9"/>
  <c r="S36" i="9"/>
  <c r="S31" i="9"/>
  <c r="T31" i="9" s="1"/>
  <c r="S30" i="9"/>
  <c r="T30" i="9" s="1"/>
  <c r="S32" i="9"/>
  <c r="S29" i="9"/>
  <c r="T29" i="9" s="1"/>
  <c r="S24" i="9"/>
  <c r="T24" i="9" s="1"/>
  <c r="S23" i="9"/>
  <c r="T23" i="9" s="1"/>
  <c r="S25" i="9"/>
  <c r="S22" i="9"/>
  <c r="T22" i="9" s="1"/>
  <c r="S11" i="9"/>
  <c r="T11" i="9" s="1"/>
  <c r="S12" i="9"/>
  <c r="T12" i="9" s="1"/>
  <c r="S13" i="9"/>
  <c r="T13" i="9" s="1"/>
  <c r="S10" i="9"/>
  <c r="T33" i="9" l="1"/>
  <c r="T10" i="9"/>
  <c r="S14" i="9"/>
  <c r="T25" i="9"/>
  <c r="T32" i="9"/>
  <c r="S40" i="9"/>
  <c r="T37" i="9" s="1"/>
  <c r="S33" i="9"/>
  <c r="S26" i="9"/>
  <c r="S17" i="8"/>
  <c r="S17" i="9" l="1"/>
  <c r="S16" i="9"/>
  <c r="T39" i="9"/>
  <c r="T14" i="9"/>
  <c r="T38" i="9"/>
  <c r="T26" i="9"/>
  <c r="T36" i="9"/>
  <c r="S42" i="9"/>
  <c r="T40" i="9" l="1"/>
  <c r="T42" i="9" s="1"/>
  <c r="T16" i="9"/>
  <c r="T18" i="9" s="1"/>
  <c r="T17" i="9"/>
  <c r="S18" i="9"/>
  <c r="S44" i="8"/>
  <c r="S42" i="8"/>
  <c r="S43" i="8"/>
  <c r="S45" i="8"/>
  <c r="S41" i="8"/>
  <c r="S36" i="8"/>
  <c r="T36" i="8" s="1"/>
  <c r="S34" i="8"/>
  <c r="T34" i="8" s="1"/>
  <c r="S35" i="8"/>
  <c r="T35" i="8" s="1"/>
  <c r="S37" i="8"/>
  <c r="T37" i="8" s="1"/>
  <c r="S28" i="8"/>
  <c r="T28" i="8" s="1"/>
  <c r="S33" i="8"/>
  <c r="T33" i="8" s="1"/>
  <c r="S26" i="8"/>
  <c r="T26" i="8" s="1"/>
  <c r="S27" i="8"/>
  <c r="T27" i="8" s="1"/>
  <c r="S29" i="8"/>
  <c r="T29" i="8" s="1"/>
  <c r="S25" i="8"/>
  <c r="T25" i="8" s="1"/>
  <c r="S11" i="8"/>
  <c r="T11" i="8" s="1"/>
  <c r="S12" i="8"/>
  <c r="S13" i="8"/>
  <c r="T13" i="8" s="1"/>
  <c r="S14" i="8"/>
  <c r="S10" i="8"/>
  <c r="S15" i="8" l="1"/>
  <c r="T10" i="8"/>
  <c r="T14" i="8"/>
  <c r="T17" i="8"/>
  <c r="T30" i="8"/>
  <c r="T38" i="8"/>
  <c r="T12" i="8"/>
  <c r="S46" i="8"/>
  <c r="T43" i="8" s="1"/>
  <c r="S38" i="8"/>
  <c r="S30" i="8"/>
  <c r="G55" i="22"/>
  <c r="G59" i="22" s="1"/>
  <c r="G66" i="22"/>
  <c r="F75" i="22"/>
  <c r="F74" i="22"/>
  <c r="F66" i="22"/>
  <c r="F73" i="22"/>
  <c r="G73" i="22" s="1"/>
  <c r="G72" i="22"/>
  <c r="F72" i="22"/>
  <c r="F71" i="22"/>
  <c r="F70" i="22"/>
  <c r="F69" i="22"/>
  <c r="G65" i="22"/>
  <c r="F65" i="22"/>
  <c r="F63" i="22"/>
  <c r="F64" i="22"/>
  <c r="G54" i="22"/>
  <c r="H55" i="22"/>
  <c r="T44" i="8" l="1"/>
  <c r="T15" i="8"/>
  <c r="T45" i="8"/>
  <c r="T41" i="8"/>
  <c r="T42" i="8"/>
  <c r="S20" i="8"/>
  <c r="S19" i="8"/>
  <c r="S48" i="8"/>
  <c r="F59" i="22"/>
  <c r="G74" i="22"/>
  <c r="F51" i="22"/>
  <c r="G51" i="22"/>
  <c r="G45" i="22"/>
  <c r="F45" i="22"/>
  <c r="F48" i="22" s="1"/>
  <c r="F49" i="22" s="1"/>
  <c r="G48" i="22"/>
  <c r="G49" i="22" s="1"/>
  <c r="F37" i="22"/>
  <c r="F18" i="22"/>
  <c r="G18" i="22"/>
  <c r="G25" i="22"/>
  <c r="F25" i="22"/>
  <c r="F31" i="22"/>
  <c r="G31" i="22"/>
  <c r="F35" i="22"/>
  <c r="G35" i="22"/>
  <c r="G37" i="22" s="1"/>
  <c r="G29" i="22"/>
  <c r="F29" i="22"/>
  <c r="S21" i="8" l="1"/>
  <c r="T46" i="8"/>
  <c r="T48" i="8" s="1"/>
  <c r="T20" i="8"/>
  <c r="T21" i="8" s="1"/>
  <c r="T19" i="8"/>
  <c r="F74" i="21"/>
  <c r="F69" i="21"/>
  <c r="F62" i="21"/>
  <c r="F41" i="23"/>
  <c r="F40" i="23"/>
  <c r="F39" i="23"/>
  <c r="F38" i="23"/>
  <c r="F42" i="23" s="1"/>
  <c r="F34" i="23"/>
  <c r="F33" i="23"/>
  <c r="F32" i="23"/>
  <c r="F31" i="23"/>
  <c r="F35" i="23" s="1"/>
  <c r="F27" i="23"/>
  <c r="F28" i="23" s="1"/>
  <c r="F26" i="23"/>
  <c r="F25" i="23"/>
  <c r="F24" i="23"/>
  <c r="E42" i="23"/>
  <c r="E35" i="23"/>
  <c r="E28" i="23"/>
  <c r="F20" i="23"/>
  <c r="E20" i="23"/>
  <c r="F19" i="23"/>
  <c r="F18" i="23"/>
  <c r="F16" i="23"/>
  <c r="F14" i="23"/>
  <c r="E14" i="23"/>
  <c r="F11" i="23"/>
  <c r="F12" i="23"/>
  <c r="F13" i="23"/>
  <c r="F10" i="23"/>
  <c r="E46" i="20"/>
  <c r="E48" i="20" s="1"/>
  <c r="E38" i="20"/>
  <c r="F45" i="20"/>
  <c r="F44" i="20"/>
  <c r="F46" i="20" s="1"/>
  <c r="F43" i="20"/>
  <c r="F42" i="20"/>
  <c r="F41" i="20"/>
  <c r="F37" i="20"/>
  <c r="F36" i="20"/>
  <c r="F38" i="20" s="1"/>
  <c r="F35" i="20"/>
  <c r="F34" i="20"/>
  <c r="F33" i="20"/>
  <c r="F30" i="20"/>
  <c r="F29" i="20"/>
  <c r="F28" i="20"/>
  <c r="F27" i="20"/>
  <c r="F26" i="20"/>
  <c r="F25" i="20"/>
  <c r="F17" i="20"/>
  <c r="E30" i="20"/>
  <c r="F20" i="20"/>
  <c r="F21" i="20"/>
  <c r="F19" i="20"/>
  <c r="I15" i="21"/>
  <c r="I16" i="21"/>
  <c r="I17" i="21"/>
  <c r="I18" i="21"/>
  <c r="I19" i="21"/>
  <c r="I20" i="21"/>
  <c r="I21" i="21"/>
  <c r="I22" i="21"/>
  <c r="I23" i="21"/>
  <c r="I24" i="21"/>
  <c r="I26" i="21"/>
  <c r="I27" i="21"/>
  <c r="I29" i="21"/>
  <c r="I30" i="21"/>
  <c r="I31" i="21"/>
  <c r="I33" i="21"/>
  <c r="I35" i="21"/>
  <c r="I36" i="21"/>
  <c r="I37" i="21"/>
  <c r="I38" i="21"/>
  <c r="I39" i="21"/>
  <c r="I40" i="21"/>
  <c r="I41" i="21"/>
  <c r="I43" i="21"/>
  <c r="I46" i="21"/>
  <c r="I48" i="21"/>
  <c r="I49" i="21"/>
  <c r="I52" i="21"/>
  <c r="I53" i="21"/>
  <c r="I54" i="21"/>
  <c r="I56" i="21"/>
  <c r="I57" i="21"/>
  <c r="I58" i="21"/>
  <c r="I65" i="21"/>
  <c r="I73" i="21"/>
  <c r="I76" i="21"/>
  <c r="I77" i="21"/>
  <c r="I78" i="21"/>
  <c r="I14" i="21"/>
  <c r="F44" i="23" l="1"/>
  <c r="E44" i="23"/>
  <c r="F48" i="20"/>
  <c r="H74" i="22"/>
  <c r="H71" i="22"/>
  <c r="H70" i="22"/>
  <c r="H69" i="22"/>
  <c r="H72" i="22" s="1"/>
  <c r="H65" i="22"/>
  <c r="H64" i="22"/>
  <c r="H63" i="22"/>
  <c r="H66" i="22" s="1"/>
  <c r="H73" i="22" s="1"/>
  <c r="H75" i="22" s="1"/>
  <c r="H82" i="22" s="1"/>
  <c r="H45" i="22"/>
  <c r="H48" i="22" s="1"/>
  <c r="H37" i="22"/>
  <c r="H35" i="22"/>
  <c r="H29" i="22"/>
  <c r="H31" i="22" s="1"/>
  <c r="H25" i="22"/>
  <c r="H18" i="22"/>
  <c r="H49" i="22" l="1"/>
  <c r="H51" i="22" s="1"/>
  <c r="H59" i="22" l="1"/>
  <c r="H54" i="22"/>
  <c r="A6" i="22" l="1"/>
  <c r="A5" i="22"/>
  <c r="A2" i="22"/>
  <c r="C42" i="23"/>
  <c r="B42" i="23"/>
  <c r="D41" i="23"/>
  <c r="D40" i="23"/>
  <c r="D39" i="23"/>
  <c r="D38" i="23"/>
  <c r="C35" i="23"/>
  <c r="B35" i="23"/>
  <c r="D34" i="23"/>
  <c r="D33" i="23"/>
  <c r="D32" i="23"/>
  <c r="D31" i="23"/>
  <c r="C28" i="23"/>
  <c r="B28" i="23"/>
  <c r="D27" i="23"/>
  <c r="D26" i="23"/>
  <c r="D25" i="23"/>
  <c r="D24" i="23"/>
  <c r="D16" i="23"/>
  <c r="C14" i="23"/>
  <c r="C18" i="23" s="1"/>
  <c r="C19" i="23" s="1"/>
  <c r="C20" i="23" s="1"/>
  <c r="B14" i="23"/>
  <c r="B18" i="23" s="1"/>
  <c r="D13" i="23"/>
  <c r="D12" i="23"/>
  <c r="D10" i="23"/>
  <c r="C44" i="23" l="1"/>
  <c r="D35" i="23"/>
  <c r="D28" i="23"/>
  <c r="B44" i="23"/>
  <c r="D14" i="23"/>
  <c r="D18" i="23" s="1"/>
  <c r="B19" i="23"/>
  <c r="B20" i="23" s="1"/>
  <c r="D42" i="23"/>
  <c r="D44" i="23" l="1"/>
  <c r="D19" i="23"/>
  <c r="D20" i="23" l="1"/>
  <c r="I79" i="22" l="1"/>
  <c r="I78" i="22"/>
  <c r="I77" i="22"/>
  <c r="G75" i="22"/>
  <c r="I75" i="22" s="1"/>
  <c r="I74" i="22"/>
  <c r="G71" i="22"/>
  <c r="G70" i="22"/>
  <c r="G69" i="22"/>
  <c r="I66" i="22"/>
  <c r="G64" i="22"/>
  <c r="I64" i="22" s="1"/>
  <c r="G63" i="22"/>
  <c r="I63" i="22" s="1"/>
  <c r="G62" i="22"/>
  <c r="I62" i="22" s="1"/>
  <c r="G61" i="22"/>
  <c r="I61" i="22" s="1"/>
  <c r="I59" i="22"/>
  <c r="I58" i="22"/>
  <c r="I57" i="22"/>
  <c r="I55" i="22"/>
  <c r="I54" i="22"/>
  <c r="I53" i="22"/>
  <c r="I50" i="22"/>
  <c r="I49" i="22"/>
  <c r="I47" i="22"/>
  <c r="I44" i="22"/>
  <c r="I42" i="22"/>
  <c r="I41" i="22"/>
  <c r="I40" i="22"/>
  <c r="I39" i="22"/>
  <c r="I38" i="22"/>
  <c r="I37" i="22"/>
  <c r="I36" i="22"/>
  <c r="I34" i="22"/>
  <c r="I32" i="22"/>
  <c r="I31" i="22"/>
  <c r="I30" i="22"/>
  <c r="I28" i="22"/>
  <c r="I27" i="22"/>
  <c r="I25" i="22"/>
  <c r="I24" i="22"/>
  <c r="I23" i="22"/>
  <c r="I22" i="22"/>
  <c r="I21" i="22"/>
  <c r="I19" i="22"/>
  <c r="I18" i="22"/>
  <c r="I17" i="22"/>
  <c r="I16" i="22"/>
  <c r="I15" i="22"/>
  <c r="I68" i="22" l="1"/>
  <c r="I60" i="22"/>
  <c r="I70" i="22"/>
  <c r="I69" i="22"/>
  <c r="I71" i="22"/>
  <c r="I43" i="22"/>
  <c r="I45" i="22"/>
  <c r="I33" i="22"/>
  <c r="I35" i="22"/>
  <c r="I26" i="22"/>
  <c r="I29" i="22"/>
  <c r="I67" i="22"/>
  <c r="I65" i="22" l="1"/>
  <c r="I72" i="22"/>
  <c r="I20" i="22"/>
  <c r="I46" i="22" l="1"/>
  <c r="I73" i="22"/>
  <c r="G82" i="22"/>
  <c r="G80" i="22" l="1"/>
  <c r="I76" i="22"/>
  <c r="I48" i="22"/>
  <c r="I51" i="22"/>
  <c r="I80" i="22" l="1"/>
  <c r="I52" i="22"/>
  <c r="I56" i="22" l="1"/>
  <c r="F67" i="21" l="1"/>
  <c r="G67" i="21" s="1"/>
  <c r="I67" i="21" s="1"/>
  <c r="F68" i="21"/>
  <c r="G68" i="21" s="1"/>
  <c r="I68" i="21" s="1"/>
  <c r="F70" i="21"/>
  <c r="G70" i="21" s="1"/>
  <c r="I70" i="21" s="1"/>
  <c r="G69" i="21"/>
  <c r="I69" i="21" s="1"/>
  <c r="F66" i="21"/>
  <c r="G66" i="21" s="1"/>
  <c r="I66" i="21" s="1"/>
  <c r="G62" i="21"/>
  <c r="I62" i="21" s="1"/>
  <c r="F60" i="21"/>
  <c r="F61" i="21"/>
  <c r="G61" i="21" s="1"/>
  <c r="I61" i="21" s="1"/>
  <c r="F63" i="21"/>
  <c r="G63" i="21" s="1"/>
  <c r="I63" i="21" s="1"/>
  <c r="G60" i="21"/>
  <c r="I60" i="21" s="1"/>
  <c r="F59" i="21"/>
  <c r="G59" i="21" s="1"/>
  <c r="I59" i="21" s="1"/>
  <c r="F42" i="21"/>
  <c r="G42" i="21" s="1"/>
  <c r="I42" i="21" s="1"/>
  <c r="F32" i="21"/>
  <c r="G32" i="21" s="1"/>
  <c r="I32" i="21" s="1"/>
  <c r="F25" i="21"/>
  <c r="G25" i="21" s="1"/>
  <c r="G28" i="21" l="1"/>
  <c r="I28" i="21" s="1"/>
  <c r="I25" i="21"/>
  <c r="F71" i="21"/>
  <c r="G44" i="21"/>
  <c r="I44" i="21" s="1"/>
  <c r="F64" i="21"/>
  <c r="G71" i="21"/>
  <c r="I71" i="21" s="1"/>
  <c r="G64" i="21"/>
  <c r="I64" i="21" s="1"/>
  <c r="G34" i="21"/>
  <c r="I34" i="21" s="1"/>
  <c r="F72" i="21" l="1"/>
  <c r="G45" i="21"/>
  <c r="I45" i="21" s="1"/>
  <c r="G72" i="21"/>
  <c r="I72" i="21" s="1"/>
  <c r="G47" i="21" l="1"/>
  <c r="I47" i="21" s="1"/>
  <c r="G50" i="21" l="1"/>
  <c r="I50" i="21" s="1"/>
  <c r="D45" i="20"/>
  <c r="D44" i="20"/>
  <c r="D43" i="20"/>
  <c r="D42" i="20"/>
  <c r="D41" i="20"/>
  <c r="D37" i="20"/>
  <c r="D36" i="20"/>
  <c r="D35" i="20"/>
  <c r="D34" i="20"/>
  <c r="D33" i="20"/>
  <c r="D29" i="20"/>
  <c r="D28" i="20"/>
  <c r="D27" i="20"/>
  <c r="D26" i="20"/>
  <c r="D25" i="20"/>
  <c r="D17" i="20"/>
  <c r="C38" i="20"/>
  <c r="C46" i="20"/>
  <c r="B46" i="20"/>
  <c r="B38" i="20"/>
  <c r="C30" i="20"/>
  <c r="B30" i="20"/>
  <c r="B48" i="20" s="1"/>
  <c r="C15" i="20"/>
  <c r="C19" i="20" s="1"/>
  <c r="B15" i="20"/>
  <c r="B19" i="20" s="1"/>
  <c r="D11" i="20"/>
  <c r="D12" i="20"/>
  <c r="D13" i="20"/>
  <c r="D14" i="20"/>
  <c r="D10" i="20"/>
  <c r="D38" i="20" l="1"/>
  <c r="G74" i="21"/>
  <c r="I74" i="21" s="1"/>
  <c r="F75" i="21"/>
  <c r="F79" i="21" s="1"/>
  <c r="B20" i="20"/>
  <c r="B21" i="20" s="1"/>
  <c r="D46" i="20"/>
  <c r="D30" i="20"/>
  <c r="D48" i="20" s="1"/>
  <c r="C20" i="20"/>
  <c r="C21" i="20" s="1"/>
  <c r="C48" i="20"/>
  <c r="D15" i="20"/>
  <c r="D19" i="20" s="1"/>
  <c r="G75" i="21" l="1"/>
  <c r="I75" i="21" s="1"/>
  <c r="D20" i="20"/>
  <c r="D21" i="20" s="1"/>
  <c r="G79" i="21" l="1"/>
  <c r="I79" i="21" s="1"/>
  <c r="G51" i="21" l="1"/>
  <c r="I51" i="21" s="1"/>
  <c r="E53" i="14"/>
  <c r="C53" i="14"/>
  <c r="E52" i="14"/>
  <c r="C52" i="14"/>
  <c r="E51" i="14"/>
  <c r="C51" i="14"/>
  <c r="E50" i="14"/>
  <c r="C50" i="14"/>
  <c r="E47" i="14"/>
  <c r="C47" i="14"/>
  <c r="E46" i="14"/>
  <c r="C46" i="14"/>
  <c r="E43" i="14"/>
  <c r="C43" i="14"/>
  <c r="E42" i="14"/>
  <c r="C42" i="14"/>
  <c r="E41" i="14"/>
  <c r="C41" i="14"/>
  <c r="E38" i="14"/>
  <c r="C38" i="14"/>
  <c r="E32" i="14"/>
  <c r="C32" i="14"/>
  <c r="E31" i="14"/>
  <c r="C31" i="14"/>
  <c r="E30" i="14"/>
  <c r="C30" i="14"/>
  <c r="E29" i="14"/>
  <c r="C29" i="14"/>
  <c r="E26" i="14"/>
  <c r="C26" i="14"/>
  <c r="E25" i="14"/>
  <c r="C25" i="14"/>
  <c r="E22" i="14"/>
  <c r="C22" i="14"/>
  <c r="E21" i="14"/>
  <c r="C21" i="14"/>
  <c r="E18" i="14"/>
  <c r="C18" i="14"/>
  <c r="E15" i="14"/>
  <c r="C15" i="14"/>
  <c r="E14" i="14"/>
  <c r="C14" i="14"/>
  <c r="E13" i="14"/>
  <c r="C13" i="14"/>
  <c r="G55" i="21" l="1"/>
  <c r="I55" i="21" s="1"/>
  <c r="C10" i="8"/>
  <c r="B10" i="8" s="1"/>
  <c r="AA13" i="12" l="1"/>
  <c r="T20" i="18"/>
  <c r="V20" i="18" l="1"/>
  <c r="L46" i="8"/>
  <c r="L33" i="8" l="1"/>
  <c r="L37" i="12"/>
  <c r="L37" i="14"/>
  <c r="L33" i="14"/>
  <c r="O46" i="8"/>
  <c r="L26" i="8"/>
  <c r="W26" i="8" l="1"/>
  <c r="M38" i="9" l="1"/>
  <c r="E38" i="9"/>
  <c r="E31" i="9"/>
  <c r="M31" i="9"/>
  <c r="M44" i="8"/>
  <c r="M36" i="8"/>
  <c r="E36" i="8"/>
  <c r="E44" i="8" l="1"/>
  <c r="U20" i="18"/>
  <c r="T49" i="13"/>
  <c r="T48" i="13"/>
  <c r="T44" i="13"/>
  <c r="T39" i="13"/>
  <c r="T30" i="13"/>
  <c r="T29" i="13"/>
  <c r="T25" i="13"/>
  <c r="T21" i="13"/>
  <c r="T18" i="13"/>
  <c r="T15" i="13"/>
  <c r="T14" i="13"/>
  <c r="T13" i="13"/>
  <c r="U13" i="13" s="1"/>
  <c r="Z23" i="9" l="1"/>
  <c r="Z30" i="9" s="1"/>
  <c r="N11" i="9"/>
  <c r="Z49" i="12"/>
  <c r="AA49" i="12" s="1"/>
  <c r="Z48" i="12"/>
  <c r="Z30" i="12"/>
  <c r="AA30" i="12" s="1"/>
  <c r="Z29" i="12"/>
  <c r="AA29" i="12" s="1"/>
  <c r="N30" i="9"/>
  <c r="AA31" i="12" l="1"/>
  <c r="N10" i="8" s="1"/>
  <c r="U49" i="13"/>
  <c r="U30" i="13"/>
  <c r="U29" i="13"/>
  <c r="U48" i="13"/>
  <c r="U50" i="13" s="1"/>
  <c r="U44" i="13"/>
  <c r="U46" i="13" s="1"/>
  <c r="U39" i="13"/>
  <c r="U42" i="13" s="1"/>
  <c r="U25" i="13"/>
  <c r="U27" i="13" s="1"/>
  <c r="U21" i="13"/>
  <c r="U23" i="13" s="1"/>
  <c r="U18" i="13"/>
  <c r="U14" i="13"/>
  <c r="U15" i="13"/>
  <c r="X46" i="14"/>
  <c r="X48" i="14" s="1"/>
  <c r="Z13" i="9" s="1"/>
  <c r="X41" i="14"/>
  <c r="X44" i="14" s="1"/>
  <c r="Z12" i="9" s="1"/>
  <c r="X38" i="14"/>
  <c r="Z11" i="9" s="1"/>
  <c r="X31" i="14"/>
  <c r="X25" i="14"/>
  <c r="X27" i="14" s="1"/>
  <c r="X21" i="14"/>
  <c r="X23" i="14" s="1"/>
  <c r="X18" i="14"/>
  <c r="X15" i="14"/>
  <c r="X14" i="14"/>
  <c r="X13" i="14"/>
  <c r="AA48" i="12"/>
  <c r="AA50" i="12" s="1"/>
  <c r="N10" i="9" s="1"/>
  <c r="AA44" i="12"/>
  <c r="AA39" i="12"/>
  <c r="AA42" i="12" s="1"/>
  <c r="N12" i="9" s="1"/>
  <c r="AA46" i="12"/>
  <c r="N13" i="9" s="1"/>
  <c r="AA25" i="12"/>
  <c r="AA27" i="12"/>
  <c r="N14" i="8" s="1"/>
  <c r="AA23" i="12"/>
  <c r="N13" i="8" s="1"/>
  <c r="AA21" i="12"/>
  <c r="AA18" i="12"/>
  <c r="N12" i="8" s="1"/>
  <c r="AA14" i="12"/>
  <c r="AA16" i="12" s="1"/>
  <c r="AA15" i="12"/>
  <c r="N51" i="14"/>
  <c r="N52" i="14"/>
  <c r="N53" i="14"/>
  <c r="N46" i="14"/>
  <c r="J21" i="14"/>
  <c r="E48" i="13"/>
  <c r="E44" i="13"/>
  <c r="E40" i="13"/>
  <c r="E29" i="13"/>
  <c r="E25" i="13"/>
  <c r="E21" i="13"/>
  <c r="E18" i="13"/>
  <c r="E15" i="13"/>
  <c r="E14" i="13"/>
  <c r="E13" i="13"/>
  <c r="Z14" i="8"/>
  <c r="Z13" i="8"/>
  <c r="Z12" i="8"/>
  <c r="Z11" i="8"/>
  <c r="X53" i="14"/>
  <c r="X51" i="14"/>
  <c r="X32" i="14"/>
  <c r="X30" i="14"/>
  <c r="X33" i="14" s="1"/>
  <c r="X16" i="14" l="1"/>
  <c r="X54" i="14"/>
  <c r="Z10" i="9" s="1"/>
  <c r="AA33" i="12"/>
  <c r="N11" i="8"/>
  <c r="Z10" i="8"/>
  <c r="U31" i="13"/>
  <c r="P47" i="14"/>
  <c r="O47" i="14"/>
  <c r="N47" i="14"/>
  <c r="O50" i="14"/>
  <c r="N50" i="14"/>
  <c r="P26" i="14"/>
  <c r="O26" i="14"/>
  <c r="N26" i="14"/>
  <c r="AA52" i="12"/>
  <c r="X35" i="14"/>
  <c r="U16" i="13"/>
  <c r="U52" i="13"/>
  <c r="X56" i="14"/>
  <c r="U33" i="13" l="1"/>
  <c r="Z27" i="8"/>
  <c r="Z35" i="8" s="1"/>
  <c r="Z15" i="8"/>
  <c r="Z19" i="8" s="1"/>
  <c r="Z46" i="8"/>
  <c r="N46" i="8"/>
  <c r="N27" i="8"/>
  <c r="N35" i="8" s="1"/>
  <c r="C48" i="12"/>
  <c r="C44" i="12"/>
  <c r="C39" i="12"/>
  <c r="C36" i="12"/>
  <c r="C29" i="12"/>
  <c r="C25" i="12"/>
  <c r="C22" i="12"/>
  <c r="C21" i="12"/>
  <c r="C18" i="12"/>
  <c r="C15" i="12"/>
  <c r="C14" i="12"/>
  <c r="C13" i="12"/>
  <c r="J13" i="14"/>
  <c r="G13" i="14"/>
  <c r="J15" i="14"/>
  <c r="K13" i="14" l="1"/>
  <c r="Z20" i="8"/>
  <c r="Z21" i="8" s="1"/>
  <c r="G20" i="18" l="1"/>
  <c r="E24" i="9"/>
  <c r="E28" i="8"/>
  <c r="E48" i="18" l="1"/>
  <c r="E47" i="18"/>
  <c r="C48" i="18"/>
  <c r="C47" i="18"/>
  <c r="E29" i="18"/>
  <c r="E28" i="18"/>
  <c r="C29" i="18"/>
  <c r="C28" i="18"/>
  <c r="AB17" i="8"/>
  <c r="P17" i="8"/>
  <c r="R17" i="8" l="1"/>
  <c r="U17" i="8" s="1"/>
  <c r="AD17" i="8"/>
  <c r="T49" i="18" l="1"/>
  <c r="T45" i="18"/>
  <c r="T41" i="18"/>
  <c r="T51" i="18" s="1"/>
  <c r="T22" i="18"/>
  <c r="T26" i="18"/>
  <c r="T30" i="18"/>
  <c r="T50" i="13"/>
  <c r="T46" i="13"/>
  <c r="T42" i="13"/>
  <c r="T31" i="13"/>
  <c r="T27" i="13"/>
  <c r="T23" i="13"/>
  <c r="W54" i="14"/>
  <c r="Z22" i="9" s="1"/>
  <c r="Z29" i="9" s="1"/>
  <c r="W48" i="14"/>
  <c r="Z25" i="9" s="1"/>
  <c r="Z32" i="9" s="1"/>
  <c r="W44" i="14"/>
  <c r="Z24" i="9" s="1"/>
  <c r="Z31" i="9" s="1"/>
  <c r="Z26" i="8"/>
  <c r="Z34" i="8" s="1"/>
  <c r="W33" i="14"/>
  <c r="Z25" i="8" s="1"/>
  <c r="W27" i="14"/>
  <c r="Z29" i="8" s="1"/>
  <c r="Z37" i="8" s="1"/>
  <c r="W23" i="14"/>
  <c r="Z28" i="8" s="1"/>
  <c r="Z36" i="8" s="1"/>
  <c r="Z50" i="12"/>
  <c r="N22" i="9" s="1"/>
  <c r="N29" i="9" s="1"/>
  <c r="Z46" i="12"/>
  <c r="N25" i="9" s="1"/>
  <c r="N32" i="9" s="1"/>
  <c r="Z42" i="12"/>
  <c r="N24" i="9" s="1"/>
  <c r="N31" i="9" s="1"/>
  <c r="Z31" i="12"/>
  <c r="Z27" i="12"/>
  <c r="N29" i="8" s="1"/>
  <c r="N37" i="8" s="1"/>
  <c r="Z23" i="12"/>
  <c r="N28" i="8" s="1"/>
  <c r="N36" i="8" s="1"/>
  <c r="Z16" i="12"/>
  <c r="Z33" i="12" l="1"/>
  <c r="N26" i="8"/>
  <c r="N34" i="8" s="1"/>
  <c r="N15" i="8"/>
  <c r="N25" i="8"/>
  <c r="Z33" i="8"/>
  <c r="Z38" i="8" s="1"/>
  <c r="Z30" i="8"/>
  <c r="T32" i="18"/>
  <c r="T52" i="13"/>
  <c r="T16" i="13"/>
  <c r="W56" i="14"/>
  <c r="W35" i="14"/>
  <c r="Z52" i="12"/>
  <c r="T33" i="13" l="1"/>
  <c r="N20" i="8"/>
  <c r="N19" i="8"/>
  <c r="N30" i="8"/>
  <c r="N33" i="8"/>
  <c r="N38" i="8" s="1"/>
  <c r="Z48" i="8"/>
  <c r="O23" i="9"/>
  <c r="AA23" i="9"/>
  <c r="P53" i="14"/>
  <c r="P52" i="14"/>
  <c r="O53" i="14"/>
  <c r="O52" i="14"/>
  <c r="P51" i="14"/>
  <c r="O51" i="14"/>
  <c r="P50" i="14"/>
  <c r="J51" i="14"/>
  <c r="J50" i="14"/>
  <c r="S50" i="14" s="1"/>
  <c r="G50" i="14"/>
  <c r="G51" i="14"/>
  <c r="R54" i="14"/>
  <c r="I54" i="14"/>
  <c r="E54" i="14"/>
  <c r="C54" i="14"/>
  <c r="AA22" i="9" s="1"/>
  <c r="O32" i="14"/>
  <c r="N32" i="14"/>
  <c r="O30" i="14"/>
  <c r="R33" i="14"/>
  <c r="I33" i="14"/>
  <c r="N29" i="14"/>
  <c r="N30" i="14"/>
  <c r="J30" i="14"/>
  <c r="O31" i="14"/>
  <c r="P32" i="14"/>
  <c r="P49" i="18"/>
  <c r="I49" i="18"/>
  <c r="E49" i="18"/>
  <c r="M48" i="18"/>
  <c r="G48" i="18"/>
  <c r="J48" i="18"/>
  <c r="N48" i="18"/>
  <c r="J47" i="18"/>
  <c r="M47" i="18"/>
  <c r="P45" i="18"/>
  <c r="I45" i="18"/>
  <c r="N44" i="18"/>
  <c r="M44" i="18"/>
  <c r="J44" i="18"/>
  <c r="G44" i="18"/>
  <c r="E43" i="18"/>
  <c r="J43" i="18" s="1"/>
  <c r="C43" i="18"/>
  <c r="C45" i="18" s="1"/>
  <c r="P41" i="18"/>
  <c r="P51" i="18" s="1"/>
  <c r="I41" i="18"/>
  <c r="I51" i="18" s="1"/>
  <c r="E40" i="18"/>
  <c r="J40" i="18" s="1"/>
  <c r="C40" i="18"/>
  <c r="G40" i="18" s="1"/>
  <c r="N39" i="18"/>
  <c r="M39" i="18"/>
  <c r="J39" i="18"/>
  <c r="K39" i="18" s="1"/>
  <c r="G39" i="18"/>
  <c r="E38" i="18"/>
  <c r="J38" i="18" s="1"/>
  <c r="C38" i="18"/>
  <c r="N38" i="18" s="1"/>
  <c r="N35" i="18"/>
  <c r="M35" i="18"/>
  <c r="J35" i="18"/>
  <c r="G35" i="18"/>
  <c r="P30" i="18"/>
  <c r="I30" i="18"/>
  <c r="J29" i="18"/>
  <c r="M29" i="18"/>
  <c r="M28" i="18"/>
  <c r="E30" i="18"/>
  <c r="P26" i="18"/>
  <c r="I26" i="18"/>
  <c r="N25" i="18"/>
  <c r="M25" i="18"/>
  <c r="J25" i="18"/>
  <c r="K25" i="18" s="1"/>
  <c r="G25" i="18"/>
  <c r="E24" i="18"/>
  <c r="E26" i="18" s="1"/>
  <c r="C24" i="18"/>
  <c r="M24" i="18" s="1"/>
  <c r="P22" i="18"/>
  <c r="I22" i="18"/>
  <c r="E21" i="18"/>
  <c r="E22" i="18" s="1"/>
  <c r="C21" i="18"/>
  <c r="C22" i="18" s="1"/>
  <c r="N20" i="18"/>
  <c r="M20" i="18"/>
  <c r="N17" i="18"/>
  <c r="M17" i="18"/>
  <c r="K17" i="18"/>
  <c r="J17" i="18"/>
  <c r="G17" i="18"/>
  <c r="P15" i="18"/>
  <c r="I15" i="18"/>
  <c r="E15" i="18"/>
  <c r="C15" i="18"/>
  <c r="N14" i="18"/>
  <c r="M14" i="18"/>
  <c r="Q14" i="18" s="1"/>
  <c r="J14" i="18"/>
  <c r="K14" i="18" s="1"/>
  <c r="G14" i="18"/>
  <c r="N13" i="18"/>
  <c r="M13" i="18"/>
  <c r="Q13" i="18" s="1"/>
  <c r="R13" i="18" s="1"/>
  <c r="K13" i="18"/>
  <c r="J13" i="18"/>
  <c r="G13" i="18"/>
  <c r="N12" i="18"/>
  <c r="N15" i="18" s="1"/>
  <c r="M12" i="18"/>
  <c r="J12" i="18"/>
  <c r="G12" i="18"/>
  <c r="G15" i="18" s="1"/>
  <c r="A2" i="18"/>
  <c r="Q12" i="18" l="1"/>
  <c r="P32" i="18"/>
  <c r="K35" i="18"/>
  <c r="K12" i="18"/>
  <c r="Q25" i="18"/>
  <c r="R25" i="18" s="1"/>
  <c r="M15" i="18"/>
  <c r="Q17" i="18"/>
  <c r="R17" i="18" s="1"/>
  <c r="I32" i="18"/>
  <c r="S51" i="14"/>
  <c r="T51" i="14" s="1"/>
  <c r="U51" i="14" s="1"/>
  <c r="T50" i="14"/>
  <c r="U50" i="14" s="1"/>
  <c r="O54" i="14"/>
  <c r="J21" i="18"/>
  <c r="M38" i="18"/>
  <c r="M41" i="18" s="1"/>
  <c r="G38" i="18"/>
  <c r="G41" i="18" s="1"/>
  <c r="C41" i="18"/>
  <c r="N48" i="8"/>
  <c r="N21" i="8"/>
  <c r="K51" i="14"/>
  <c r="L51" i="14" s="1"/>
  <c r="K50" i="14"/>
  <c r="L50" i="14" s="1"/>
  <c r="P54" i="14"/>
  <c r="N54" i="14"/>
  <c r="R20" i="18"/>
  <c r="Q29" i="18"/>
  <c r="N47" i="18"/>
  <c r="N40" i="18"/>
  <c r="N41" i="18" s="1"/>
  <c r="M43" i="18"/>
  <c r="M45" i="18" s="1"/>
  <c r="K40" i="18"/>
  <c r="N43" i="18"/>
  <c r="N45" i="18" s="1"/>
  <c r="J22" i="18"/>
  <c r="C30" i="18"/>
  <c r="M40" i="18"/>
  <c r="Q40" i="18" s="1"/>
  <c r="G43" i="18"/>
  <c r="G45" i="18" s="1"/>
  <c r="K44" i="18"/>
  <c r="G47" i="18"/>
  <c r="G49" i="18" s="1"/>
  <c r="K48" i="18"/>
  <c r="C49" i="18"/>
  <c r="E32" i="18"/>
  <c r="J24" i="18"/>
  <c r="J26" i="18" s="1"/>
  <c r="E41" i="18"/>
  <c r="E33" i="14"/>
  <c r="J29" i="14"/>
  <c r="S29" i="14" s="1"/>
  <c r="P30" i="14"/>
  <c r="G30" i="14"/>
  <c r="K30" i="14" s="1"/>
  <c r="L30" i="14" s="1"/>
  <c r="S30" i="14"/>
  <c r="P29" i="14"/>
  <c r="G29" i="14"/>
  <c r="N31" i="14"/>
  <c r="N33" i="14" s="1"/>
  <c r="P31" i="14"/>
  <c r="O29" i="14"/>
  <c r="O33" i="14" s="1"/>
  <c r="C33" i="14"/>
  <c r="AA25" i="8" s="1"/>
  <c r="J45" i="18"/>
  <c r="M49" i="18"/>
  <c r="Q47" i="18"/>
  <c r="Q15" i="18"/>
  <c r="R12" i="18"/>
  <c r="M26" i="18"/>
  <c r="J41" i="18"/>
  <c r="K38" i="18"/>
  <c r="K15" i="18"/>
  <c r="M30" i="18"/>
  <c r="Q48" i="18"/>
  <c r="R48" i="18" s="1"/>
  <c r="R14" i="18"/>
  <c r="Q43" i="18"/>
  <c r="C26" i="18"/>
  <c r="J15" i="18"/>
  <c r="E45" i="18"/>
  <c r="J49" i="18"/>
  <c r="G21" i="18"/>
  <c r="N21" i="18"/>
  <c r="G24" i="18"/>
  <c r="N24" i="18"/>
  <c r="J28" i="18"/>
  <c r="Q28" i="18" s="1"/>
  <c r="Q30" i="18" s="1"/>
  <c r="G29" i="18"/>
  <c r="K29" i="18" s="1"/>
  <c r="N29" i="18"/>
  <c r="N49" i="18"/>
  <c r="Q35" i="18"/>
  <c r="Q39" i="18"/>
  <c r="R39" i="18" s="1"/>
  <c r="Q44" i="18"/>
  <c r="R44" i="18" s="1"/>
  <c r="M21" i="18"/>
  <c r="Q21" i="18" s="1"/>
  <c r="G28" i="18"/>
  <c r="N28" i="18"/>
  <c r="R35" i="18"/>
  <c r="Q38" i="18"/>
  <c r="K29" i="14" l="1"/>
  <c r="L29" i="14" s="1"/>
  <c r="K41" i="18"/>
  <c r="G51" i="18"/>
  <c r="K43" i="18"/>
  <c r="K45" i="18" s="1"/>
  <c r="N51" i="18"/>
  <c r="C32" i="18"/>
  <c r="C51" i="18"/>
  <c r="R40" i="18"/>
  <c r="Q24" i="18"/>
  <c r="Q26" i="18" s="1"/>
  <c r="K47" i="18"/>
  <c r="T30" i="14"/>
  <c r="U30" i="14" s="1"/>
  <c r="T29" i="14"/>
  <c r="U29" i="14" s="1"/>
  <c r="Q22" i="18"/>
  <c r="K49" i="18"/>
  <c r="K51" i="18" s="1"/>
  <c r="M51" i="18"/>
  <c r="E51" i="18"/>
  <c r="J51" i="18"/>
  <c r="P33" i="14"/>
  <c r="N26" i="18"/>
  <c r="R24" i="18"/>
  <c r="R26" i="18" s="1"/>
  <c r="J30" i="18"/>
  <c r="J32" i="18" s="1"/>
  <c r="K28" i="18"/>
  <c r="K30" i="18" s="1"/>
  <c r="G22" i="18"/>
  <c r="K21" i="18"/>
  <c r="K22" i="18" s="1"/>
  <c r="Q45" i="18"/>
  <c r="Q41" i="18"/>
  <c r="R29" i="18"/>
  <c r="Q49" i="18"/>
  <c r="G30" i="18"/>
  <c r="R38" i="18"/>
  <c r="R41" i="18" s="1"/>
  <c r="R47" i="18"/>
  <c r="R49" i="18" s="1"/>
  <c r="G26" i="18"/>
  <c r="K24" i="18"/>
  <c r="K26" i="18" s="1"/>
  <c r="R28" i="18"/>
  <c r="N30" i="18"/>
  <c r="N22" i="18"/>
  <c r="R21" i="18"/>
  <c r="R22" i="18" s="1"/>
  <c r="R43" i="18"/>
  <c r="R45" i="18" s="1"/>
  <c r="M22" i="18"/>
  <c r="M32" i="18" s="1"/>
  <c r="R15" i="18"/>
  <c r="Q32" i="18" l="1"/>
  <c r="Q51" i="18"/>
  <c r="R51" i="18"/>
  <c r="K32" i="18"/>
  <c r="G32" i="18"/>
  <c r="R30" i="18"/>
  <c r="R32" i="18" s="1"/>
  <c r="N32" i="18"/>
  <c r="C48" i="13" l="1"/>
  <c r="M48" i="13" s="1"/>
  <c r="J48" i="13"/>
  <c r="C49" i="13"/>
  <c r="E49" i="13"/>
  <c r="E50" i="13" s="1"/>
  <c r="C44" i="13"/>
  <c r="M44" i="13" s="1"/>
  <c r="C45" i="13"/>
  <c r="M45" i="13" s="1"/>
  <c r="E45" i="13"/>
  <c r="C39" i="13"/>
  <c r="E39" i="13"/>
  <c r="C40" i="13"/>
  <c r="C41" i="13"/>
  <c r="E41" i="13"/>
  <c r="C36" i="13"/>
  <c r="E36" i="13"/>
  <c r="C29" i="13"/>
  <c r="M29" i="13" s="1"/>
  <c r="C30" i="13"/>
  <c r="E30" i="13"/>
  <c r="C25" i="13"/>
  <c r="C26" i="13"/>
  <c r="E26" i="13"/>
  <c r="C21" i="13"/>
  <c r="C22" i="13"/>
  <c r="E22" i="13"/>
  <c r="C18" i="13"/>
  <c r="C13" i="13"/>
  <c r="C14" i="13"/>
  <c r="C15" i="13"/>
  <c r="P31" i="13"/>
  <c r="I31" i="13"/>
  <c r="P50" i="13"/>
  <c r="I50" i="13"/>
  <c r="N40" i="9"/>
  <c r="N33" i="9"/>
  <c r="N26" i="9"/>
  <c r="N14" i="9"/>
  <c r="N17" i="9" s="1"/>
  <c r="Z40" i="9"/>
  <c r="Z26" i="9"/>
  <c r="Z33" i="9"/>
  <c r="Z14" i="9"/>
  <c r="Z16" i="9" s="1"/>
  <c r="C50" i="13" l="1"/>
  <c r="C31" i="13"/>
  <c r="N48" i="13"/>
  <c r="Z42" i="9"/>
  <c r="N42" i="9"/>
  <c r="N29" i="13"/>
  <c r="G48" i="13"/>
  <c r="K48" i="13" s="1"/>
  <c r="J30" i="13"/>
  <c r="E31" i="13"/>
  <c r="Q48" i="13"/>
  <c r="Z17" i="9"/>
  <c r="Z18" i="9" s="1"/>
  <c r="G29" i="13"/>
  <c r="N49" i="13"/>
  <c r="N45" i="13"/>
  <c r="M30" i="13"/>
  <c r="M49" i="13"/>
  <c r="J29" i="13"/>
  <c r="N30" i="13"/>
  <c r="R48" i="13"/>
  <c r="N16" i="9"/>
  <c r="N18" i="9" s="1"/>
  <c r="K29" i="13" l="1"/>
  <c r="Q29" i="13"/>
  <c r="R29" i="13" s="1"/>
  <c r="B12" i="9" l="1"/>
  <c r="B11" i="9"/>
  <c r="B12" i="8"/>
  <c r="D60" i="8"/>
  <c r="B56" i="8"/>
  <c r="D56" i="8" s="1"/>
  <c r="B55" i="8"/>
  <c r="D55" i="8" s="1"/>
  <c r="B54" i="8"/>
  <c r="D54" i="8" s="1"/>
  <c r="B13" i="8"/>
  <c r="D15" i="9"/>
  <c r="D17" i="8"/>
  <c r="D12" i="8" l="1"/>
  <c r="L35" i="8"/>
  <c r="D11" i="9"/>
  <c r="F11" i="9" s="1"/>
  <c r="L30" i="9"/>
  <c r="D12" i="9"/>
  <c r="L31" i="9"/>
  <c r="D13" i="8"/>
  <c r="L36" i="8"/>
  <c r="F54" i="8"/>
  <c r="D57" i="8"/>
  <c r="D11" i="8" s="1"/>
  <c r="C14" i="8" l="1"/>
  <c r="B14" i="8" s="1"/>
  <c r="L37" i="8" l="1"/>
  <c r="D14" i="8"/>
  <c r="F15" i="9"/>
  <c r="F12" i="9"/>
  <c r="F60" i="8"/>
  <c r="F56" i="8"/>
  <c r="F55" i="8"/>
  <c r="F17" i="8"/>
  <c r="F14" i="8"/>
  <c r="F13" i="8"/>
  <c r="F12" i="8"/>
  <c r="F11" i="8"/>
  <c r="D10" i="8" l="1"/>
  <c r="F10" i="8" s="1"/>
  <c r="C29" i="9"/>
  <c r="C32" i="9"/>
  <c r="C10" i="9"/>
  <c r="B10" i="9" s="1"/>
  <c r="C13" i="9"/>
  <c r="B13" i="9" s="1"/>
  <c r="B29" i="9"/>
  <c r="B32" i="9"/>
  <c r="C33" i="8"/>
  <c r="C37" i="8"/>
  <c r="B37" i="8"/>
  <c r="B33" i="8"/>
  <c r="B46" i="8"/>
  <c r="B63" i="8"/>
  <c r="B26" i="8" s="1"/>
  <c r="B30" i="8" s="1"/>
  <c r="B69" i="8"/>
  <c r="B34" i="8" s="1"/>
  <c r="D25" i="8"/>
  <c r="D27" i="8"/>
  <c r="F27" i="8" s="1"/>
  <c r="D28" i="8"/>
  <c r="F28" i="8" s="1"/>
  <c r="D29" i="8"/>
  <c r="F29" i="8" s="1"/>
  <c r="D35" i="8"/>
  <c r="F35" i="8" s="1"/>
  <c r="D36" i="8"/>
  <c r="F36" i="8" s="1"/>
  <c r="D41" i="8"/>
  <c r="F41" i="8" s="1"/>
  <c r="D42" i="8"/>
  <c r="F42" i="8" s="1"/>
  <c r="D43" i="8"/>
  <c r="F43" i="8" s="1"/>
  <c r="D44" i="8"/>
  <c r="F44" i="8" s="1"/>
  <c r="D45" i="8"/>
  <c r="F45" i="8" s="1"/>
  <c r="D61" i="8"/>
  <c r="F61" i="8" s="1"/>
  <c r="D62" i="8"/>
  <c r="F62" i="8" s="1"/>
  <c r="D66" i="8"/>
  <c r="F66" i="8" s="1"/>
  <c r="D67" i="8"/>
  <c r="F67" i="8" s="1"/>
  <c r="D68" i="8"/>
  <c r="F68" i="8" s="1"/>
  <c r="E15" i="8"/>
  <c r="E20" i="8" s="1"/>
  <c r="E30" i="8"/>
  <c r="E38" i="8"/>
  <c r="E46" i="8"/>
  <c r="D13" i="9" l="1"/>
  <c r="F13" i="9" s="1"/>
  <c r="F14" i="9" s="1"/>
  <c r="F16" i="9" s="1"/>
  <c r="L32" i="9"/>
  <c r="D15" i="8"/>
  <c r="D20" i="8" s="1"/>
  <c r="F20" i="8" s="1"/>
  <c r="D10" i="9"/>
  <c r="F10" i="9" s="1"/>
  <c r="L29" i="9"/>
  <c r="L33" i="9"/>
  <c r="D33" i="8"/>
  <c r="F33" i="8" s="1"/>
  <c r="D37" i="8"/>
  <c r="F37" i="8" s="1"/>
  <c r="D63" i="8"/>
  <c r="B57" i="8"/>
  <c r="B38" i="8"/>
  <c r="B48" i="8" s="1"/>
  <c r="F63" i="8"/>
  <c r="D69" i="8"/>
  <c r="F25" i="8"/>
  <c r="I25" i="8" s="1"/>
  <c r="D46" i="8"/>
  <c r="E48" i="8"/>
  <c r="E19" i="8"/>
  <c r="E21" i="8" s="1"/>
  <c r="D19" i="8" l="1"/>
  <c r="B11" i="8"/>
  <c r="B15" i="8" s="1"/>
  <c r="B20" i="8" s="1"/>
  <c r="D21" i="8"/>
  <c r="F19" i="8"/>
  <c r="F57" i="8"/>
  <c r="L34" i="8" l="1"/>
  <c r="B19" i="8"/>
  <c r="B21" i="8" s="1"/>
  <c r="F69" i="8"/>
  <c r="T31" i="12" l="1"/>
  <c r="I31" i="12"/>
  <c r="A3" i="13" l="1"/>
  <c r="A3" i="14"/>
  <c r="AA27" i="8" l="1"/>
  <c r="AA60" i="8"/>
  <c r="AA61" i="8"/>
  <c r="AA62" i="8"/>
  <c r="B26" i="9" l="1"/>
  <c r="T50" i="12" l="1"/>
  <c r="I50" i="12"/>
  <c r="H25" i="8" l="1"/>
  <c r="J53" i="14"/>
  <c r="J52" i="14"/>
  <c r="R48" i="14"/>
  <c r="I48" i="14"/>
  <c r="J47" i="14"/>
  <c r="J46" i="14"/>
  <c r="R44" i="14"/>
  <c r="R56" i="14" s="1"/>
  <c r="I44" i="14"/>
  <c r="I56" i="14" s="1"/>
  <c r="O43" i="14"/>
  <c r="N43" i="14"/>
  <c r="J43" i="14"/>
  <c r="G43" i="14"/>
  <c r="P43" i="14"/>
  <c r="O42" i="14"/>
  <c r="N42" i="14"/>
  <c r="J42" i="14"/>
  <c r="G42" i="14"/>
  <c r="P42" i="14"/>
  <c r="O41" i="14"/>
  <c r="N41" i="14"/>
  <c r="J41" i="14"/>
  <c r="G41" i="14"/>
  <c r="E44" i="14"/>
  <c r="C44" i="14"/>
  <c r="J38" i="14"/>
  <c r="AA30" i="9" s="1"/>
  <c r="O38" i="14"/>
  <c r="J32" i="14"/>
  <c r="J31" i="14"/>
  <c r="R27" i="14"/>
  <c r="I27" i="14"/>
  <c r="J26" i="14"/>
  <c r="J25" i="14"/>
  <c r="N25" i="14"/>
  <c r="R23" i="14"/>
  <c r="I23" i="14"/>
  <c r="J22" i="14"/>
  <c r="E23" i="14"/>
  <c r="C23" i="14"/>
  <c r="AA28" i="8" s="1"/>
  <c r="J18" i="14"/>
  <c r="AA35" i="8" s="1"/>
  <c r="N18" i="14"/>
  <c r="R16" i="14"/>
  <c r="R35" i="14" s="1"/>
  <c r="I16" i="14"/>
  <c r="AA68" i="8"/>
  <c r="P15" i="14"/>
  <c r="J14" i="14"/>
  <c r="AA67" i="8" s="1"/>
  <c r="P14" i="14"/>
  <c r="AA66" i="8"/>
  <c r="I35" i="14" l="1"/>
  <c r="AA24" i="9"/>
  <c r="J54" i="14"/>
  <c r="AA29" i="9" s="1"/>
  <c r="J33" i="14"/>
  <c r="AA33" i="8" s="1"/>
  <c r="S32" i="14"/>
  <c r="S18" i="14"/>
  <c r="G44" i="14"/>
  <c r="S43" i="14"/>
  <c r="T43" i="14" s="1"/>
  <c r="U43" i="14" s="1"/>
  <c r="S53" i="14"/>
  <c r="G15" i="14"/>
  <c r="AA56" i="8" s="1"/>
  <c r="J44" i="14"/>
  <c r="AA31" i="9" s="1"/>
  <c r="C16" i="14"/>
  <c r="AA54" i="8"/>
  <c r="N22" i="14"/>
  <c r="S22" i="14" s="1"/>
  <c r="O22" i="14"/>
  <c r="P22" i="14"/>
  <c r="S52" i="14"/>
  <c r="S54" i="14" s="1"/>
  <c r="AA36" i="9" s="1"/>
  <c r="N13" i="14"/>
  <c r="G14" i="14"/>
  <c r="AA55" i="8" s="1"/>
  <c r="N15" i="14"/>
  <c r="S15" i="14" s="1"/>
  <c r="G38" i="14"/>
  <c r="J16" i="14"/>
  <c r="O14" i="14"/>
  <c r="N14" i="14"/>
  <c r="S14" i="14" s="1"/>
  <c r="P38" i="14"/>
  <c r="N38" i="14"/>
  <c r="S38" i="14" s="1"/>
  <c r="AA37" i="9" s="1"/>
  <c r="E16" i="14"/>
  <c r="O13" i="14"/>
  <c r="O15" i="14"/>
  <c r="S41" i="14"/>
  <c r="T41" i="14" s="1"/>
  <c r="K42" i="14"/>
  <c r="L42" i="14" s="1"/>
  <c r="O44" i="14"/>
  <c r="S42" i="14"/>
  <c r="T42" i="14" s="1"/>
  <c r="U42" i="14" s="1"/>
  <c r="K43" i="14"/>
  <c r="L43" i="14" s="1"/>
  <c r="J27" i="14"/>
  <c r="AA37" i="8" s="1"/>
  <c r="J48" i="14"/>
  <c r="AA32" i="9" s="1"/>
  <c r="N27" i="14"/>
  <c r="S25" i="14"/>
  <c r="N48" i="14"/>
  <c r="S46" i="14"/>
  <c r="S26" i="14"/>
  <c r="S31" i="14"/>
  <c r="S33" i="14" s="1"/>
  <c r="S47" i="14"/>
  <c r="E27" i="14"/>
  <c r="N44" i="14"/>
  <c r="E48" i="14"/>
  <c r="E56" i="14" s="1"/>
  <c r="P18" i="14"/>
  <c r="P21" i="14"/>
  <c r="P25" i="14"/>
  <c r="C27" i="14"/>
  <c r="AA29" i="8" s="1"/>
  <c r="P46" i="14"/>
  <c r="C48" i="14"/>
  <c r="AA25" i="9" s="1"/>
  <c r="O18" i="14"/>
  <c r="O21" i="14"/>
  <c r="O25" i="14"/>
  <c r="O46" i="14"/>
  <c r="P13" i="14"/>
  <c r="G18" i="14"/>
  <c r="AA12" i="8" s="1"/>
  <c r="G21" i="14"/>
  <c r="N21" i="14"/>
  <c r="G22" i="14"/>
  <c r="K22" i="14" s="1"/>
  <c r="L22" i="14" s="1"/>
  <c r="G25" i="14"/>
  <c r="K25" i="14" s="1"/>
  <c r="G26" i="14"/>
  <c r="K26" i="14" s="1"/>
  <c r="L26" i="14" s="1"/>
  <c r="G31" i="14"/>
  <c r="G32" i="14"/>
  <c r="K32" i="14" s="1"/>
  <c r="L32" i="14" s="1"/>
  <c r="K41" i="14"/>
  <c r="P41" i="14"/>
  <c r="G46" i="14"/>
  <c r="G47" i="14"/>
  <c r="K47" i="14" s="1"/>
  <c r="L47" i="14" s="1"/>
  <c r="G52" i="14"/>
  <c r="G53" i="14"/>
  <c r="K53" i="14" s="1"/>
  <c r="L53" i="14" s="1"/>
  <c r="G54" i="14" l="1"/>
  <c r="AA10" i="9" s="1"/>
  <c r="AB10" i="9" s="1"/>
  <c r="J56" i="14"/>
  <c r="AA11" i="9"/>
  <c r="AB11" i="9" s="1"/>
  <c r="G33" i="14"/>
  <c r="AA10" i="8" s="1"/>
  <c r="C35" i="14"/>
  <c r="N56" i="14"/>
  <c r="C56" i="14"/>
  <c r="AA12" i="9"/>
  <c r="AB12" i="9" s="1"/>
  <c r="AA41" i="8"/>
  <c r="E35" i="14"/>
  <c r="AA43" i="8"/>
  <c r="K15" i="14"/>
  <c r="N16" i="14"/>
  <c r="S13" i="14"/>
  <c r="T13" i="14" s="1"/>
  <c r="U13" i="14" s="1"/>
  <c r="O16" i="14"/>
  <c r="T15" i="14"/>
  <c r="U15" i="14" s="1"/>
  <c r="K52" i="14"/>
  <c r="K38" i="14"/>
  <c r="K31" i="14"/>
  <c r="T14" i="14"/>
  <c r="U14" i="14" s="1"/>
  <c r="G48" i="14"/>
  <c r="AA13" i="9" s="1"/>
  <c r="T26" i="14"/>
  <c r="U26" i="14" s="1"/>
  <c r="T18" i="14"/>
  <c r="G16" i="14"/>
  <c r="AB54" i="8"/>
  <c r="K14" i="14"/>
  <c r="L25" i="14"/>
  <c r="L27" i="14" s="1"/>
  <c r="K27" i="14"/>
  <c r="K18" i="14"/>
  <c r="S44" i="14"/>
  <c r="AA38" i="9" s="1"/>
  <c r="T44" i="14"/>
  <c r="N23" i="14"/>
  <c r="S21" i="14"/>
  <c r="S23" i="14" s="1"/>
  <c r="P16" i="14"/>
  <c r="P44" i="14"/>
  <c r="U41" i="14"/>
  <c r="U44" i="14" s="1"/>
  <c r="O27" i="14"/>
  <c r="T25" i="14"/>
  <c r="G23" i="14"/>
  <c r="AA13" i="8" s="1"/>
  <c r="T53" i="14"/>
  <c r="U53" i="14" s="1"/>
  <c r="T38" i="14"/>
  <c r="O48" i="14"/>
  <c r="O56" i="14" s="1"/>
  <c r="T46" i="14"/>
  <c r="U46" i="14" s="1"/>
  <c r="S48" i="14"/>
  <c r="AA39" i="9" s="1"/>
  <c r="K46" i="14"/>
  <c r="J23" i="14"/>
  <c r="K21" i="14"/>
  <c r="P48" i="14"/>
  <c r="P23" i="14"/>
  <c r="T47" i="14"/>
  <c r="U47" i="14" s="1"/>
  <c r="T31" i="14"/>
  <c r="T22" i="14"/>
  <c r="U22" i="14" s="1"/>
  <c r="K44" i="14"/>
  <c r="L41" i="14"/>
  <c r="L44" i="14" s="1"/>
  <c r="O23" i="14"/>
  <c r="P27" i="14"/>
  <c r="G27" i="14"/>
  <c r="AA14" i="8" s="1"/>
  <c r="T52" i="14"/>
  <c r="T32" i="14"/>
  <c r="U32" i="14" s="1"/>
  <c r="S27" i="14"/>
  <c r="T54" i="14" l="1"/>
  <c r="G56" i="14"/>
  <c r="P56" i="14"/>
  <c r="S56" i="14"/>
  <c r="N35" i="14"/>
  <c r="K54" i="14"/>
  <c r="G35" i="14"/>
  <c r="AA36" i="8"/>
  <c r="J35" i="14"/>
  <c r="P35" i="14"/>
  <c r="O35" i="14"/>
  <c r="U31" i="14"/>
  <c r="U33" i="14" s="1"/>
  <c r="T33" i="14"/>
  <c r="K33" i="14"/>
  <c r="L15" i="14"/>
  <c r="AA44" i="8"/>
  <c r="T27" i="14"/>
  <c r="AA45" i="8"/>
  <c r="L13" i="14"/>
  <c r="T21" i="14"/>
  <c r="U21" i="14" s="1"/>
  <c r="U23" i="14" s="1"/>
  <c r="U18" i="14"/>
  <c r="T16" i="14"/>
  <c r="U25" i="14"/>
  <c r="U27" i="14" s="1"/>
  <c r="U16" i="14"/>
  <c r="L18" i="14"/>
  <c r="L38" i="14"/>
  <c r="L52" i="14"/>
  <c r="L54" i="14" s="1"/>
  <c r="L46" i="14"/>
  <c r="L48" i="14" s="1"/>
  <c r="K48" i="14"/>
  <c r="L14" i="14"/>
  <c r="L31" i="14"/>
  <c r="S16" i="14"/>
  <c r="S35" i="14" s="1"/>
  <c r="U52" i="14"/>
  <c r="U54" i="14" s="1"/>
  <c r="AB13" i="9"/>
  <c r="K16" i="14"/>
  <c r="U48" i="14"/>
  <c r="T48" i="14"/>
  <c r="K23" i="14"/>
  <c r="L21" i="14"/>
  <c r="L23" i="14" s="1"/>
  <c r="U38" i="14"/>
  <c r="L56" i="14" l="1"/>
  <c r="U56" i="14"/>
  <c r="K56" i="14"/>
  <c r="T56" i="14"/>
  <c r="U35" i="14"/>
  <c r="K35" i="14"/>
  <c r="T23" i="14"/>
  <c r="L16" i="14"/>
  <c r="L35" i="14" s="1"/>
  <c r="AA42" i="8"/>
  <c r="P46" i="13"/>
  <c r="I46" i="13"/>
  <c r="P42" i="13"/>
  <c r="P52" i="13" s="1"/>
  <c r="I42" i="13"/>
  <c r="I52" i="13" s="1"/>
  <c r="P27" i="13"/>
  <c r="I27" i="13"/>
  <c r="P23" i="13"/>
  <c r="I23" i="13"/>
  <c r="P16" i="13"/>
  <c r="I16" i="13"/>
  <c r="I33" i="13" l="1"/>
  <c r="P33" i="13"/>
  <c r="T35" i="14"/>
  <c r="T46" i="12"/>
  <c r="I46" i="12"/>
  <c r="T42" i="12"/>
  <c r="T52" i="12" s="1"/>
  <c r="I42" i="12"/>
  <c r="T27" i="12"/>
  <c r="I27" i="12"/>
  <c r="T23" i="12"/>
  <c r="I23" i="12"/>
  <c r="T16" i="12"/>
  <c r="I16" i="12"/>
  <c r="I33" i="12" s="1"/>
  <c r="T33" i="12" l="1"/>
  <c r="I52" i="12"/>
  <c r="C14" i="9"/>
  <c r="D14" i="9"/>
  <c r="E14" i="9"/>
  <c r="D17" i="9" l="1"/>
  <c r="D16" i="9"/>
  <c r="L68" i="8"/>
  <c r="W68" i="8"/>
  <c r="W67" i="8"/>
  <c r="L67" i="8"/>
  <c r="P36" i="9"/>
  <c r="AB36" i="9"/>
  <c r="D18" i="9" l="1"/>
  <c r="W66" i="8"/>
  <c r="L66" i="8"/>
  <c r="B14" i="9"/>
  <c r="B16" i="9" l="1"/>
  <c r="E17" i="9"/>
  <c r="C17" i="9"/>
  <c r="E16" i="9"/>
  <c r="C16" i="9"/>
  <c r="B17" i="9" l="1"/>
  <c r="B18" i="9" s="1"/>
  <c r="C69" i="8" l="1"/>
  <c r="C63" i="8"/>
  <c r="C57" i="8"/>
  <c r="C11" i="8" s="1"/>
  <c r="H29" i="8" l="1"/>
  <c r="K30" i="8" l="1"/>
  <c r="L30" i="8"/>
  <c r="M30" i="8"/>
  <c r="C46" i="8" l="1"/>
  <c r="AB61" i="8"/>
  <c r="AB60" i="8"/>
  <c r="AA63" i="8" l="1"/>
  <c r="AA26" i="8" s="1"/>
  <c r="C34" i="8"/>
  <c r="AB62" i="8"/>
  <c r="AB63" i="8" s="1"/>
  <c r="L69" i="8"/>
  <c r="C26" i="8"/>
  <c r="C30" i="8" l="1"/>
  <c r="D26" i="8"/>
  <c r="C38" i="8"/>
  <c r="D34" i="8"/>
  <c r="F34" i="8" s="1"/>
  <c r="C15" i="8"/>
  <c r="C48" i="8" l="1"/>
  <c r="F26" i="8"/>
  <c r="F30" i="8" s="1"/>
  <c r="D30" i="8"/>
  <c r="D38" i="8"/>
  <c r="C20" i="8"/>
  <c r="W69" i="8"/>
  <c r="D48" i="8" l="1"/>
  <c r="F15" i="8"/>
  <c r="C19" i="8"/>
  <c r="X33" i="9"/>
  <c r="X38" i="8"/>
  <c r="AB56" i="8"/>
  <c r="AB25" i="9"/>
  <c r="AB23" i="9"/>
  <c r="AB22" i="9"/>
  <c r="X40" i="9"/>
  <c r="X26" i="9"/>
  <c r="W26" i="9"/>
  <c r="X14" i="9"/>
  <c r="X17" i="9" s="1"/>
  <c r="W14" i="9"/>
  <c r="W17" i="9" s="1"/>
  <c r="Y14" i="9"/>
  <c r="Y17" i="9" s="1"/>
  <c r="AB27" i="8"/>
  <c r="AB25" i="8"/>
  <c r="X46" i="8"/>
  <c r="W38" i="8"/>
  <c r="X30" i="8"/>
  <c r="W30" i="8"/>
  <c r="Y30" i="8"/>
  <c r="X15" i="8"/>
  <c r="W15" i="8"/>
  <c r="W20" i="8" s="1"/>
  <c r="F46" i="8" l="1"/>
  <c r="F21" i="8"/>
  <c r="F38" i="8"/>
  <c r="X42" i="9"/>
  <c r="X48" i="8"/>
  <c r="X19" i="8"/>
  <c r="X20" i="8"/>
  <c r="W33" i="9"/>
  <c r="AB29" i="8"/>
  <c r="AB28" i="8"/>
  <c r="Y26" i="9"/>
  <c r="Y16" i="9"/>
  <c r="W16" i="9"/>
  <c r="X16" i="9"/>
  <c r="W19" i="8"/>
  <c r="F48" i="8" l="1"/>
  <c r="AB10" i="8"/>
  <c r="AA69" i="8"/>
  <c r="AA33" i="9"/>
  <c r="AB14" i="8"/>
  <c r="AB12" i="8"/>
  <c r="AB13" i="8"/>
  <c r="AB55" i="8"/>
  <c r="AB57" i="8" s="1"/>
  <c r="AA57" i="8"/>
  <c r="X18" i="9"/>
  <c r="W21" i="8"/>
  <c r="AB24" i="9"/>
  <c r="AB26" i="9" s="1"/>
  <c r="AA26" i="9"/>
  <c r="AA30" i="8"/>
  <c r="AB26" i="8"/>
  <c r="AB30" i="8" s="1"/>
  <c r="Y18" i="9"/>
  <c r="Y15" i="8"/>
  <c r="Y20" i="8" s="1"/>
  <c r="L15" i="8"/>
  <c r="L20" i="8" s="1"/>
  <c r="L26" i="9"/>
  <c r="AA34" i="8" l="1"/>
  <c r="AA38" i="8" s="1"/>
  <c r="AA11" i="8"/>
  <c r="AA46" i="8"/>
  <c r="AB14" i="9"/>
  <c r="AB16" i="9" s="1"/>
  <c r="AA40" i="9"/>
  <c r="AA42" i="9" s="1"/>
  <c r="AA14" i="9"/>
  <c r="AA17" i="9" s="1"/>
  <c r="W18" i="9"/>
  <c r="Y19" i="8"/>
  <c r="X21" i="8"/>
  <c r="E33" i="9"/>
  <c r="E26" i="9"/>
  <c r="H32" i="9"/>
  <c r="AC40" i="9"/>
  <c r="M40" i="9"/>
  <c r="K40" i="9"/>
  <c r="G40" i="9"/>
  <c r="E40" i="9"/>
  <c r="AC33" i="9"/>
  <c r="M33" i="9"/>
  <c r="K33" i="9"/>
  <c r="G33" i="9"/>
  <c r="H31" i="9"/>
  <c r="D31" i="9"/>
  <c r="F31" i="9" s="1"/>
  <c r="C33" i="9"/>
  <c r="D30" i="9"/>
  <c r="F30" i="9" s="1"/>
  <c r="H29" i="9"/>
  <c r="D29" i="9"/>
  <c r="F29" i="9" s="1"/>
  <c r="AC26" i="9"/>
  <c r="M26" i="9"/>
  <c r="K26" i="9"/>
  <c r="G26" i="9"/>
  <c r="C26" i="9"/>
  <c r="H25" i="9"/>
  <c r="D25" i="9"/>
  <c r="F25" i="9" s="1"/>
  <c r="H24" i="9"/>
  <c r="D24" i="9"/>
  <c r="F24" i="9" s="1"/>
  <c r="H23" i="9"/>
  <c r="D23" i="9"/>
  <c r="F23" i="9" s="1"/>
  <c r="H22" i="9"/>
  <c r="D22" i="9"/>
  <c r="F22" i="9" s="1"/>
  <c r="AC14" i="9"/>
  <c r="AC16" i="9" s="1"/>
  <c r="AC18" i="9" s="1"/>
  <c r="M14" i="9"/>
  <c r="M17" i="9" s="1"/>
  <c r="K14" i="9"/>
  <c r="K16" i="9" s="1"/>
  <c r="K18" i="9" s="1"/>
  <c r="J14" i="9"/>
  <c r="J16" i="9" s="1"/>
  <c r="J18" i="9" s="1"/>
  <c r="I14" i="9"/>
  <c r="I16" i="9" s="1"/>
  <c r="I18" i="9" s="1"/>
  <c r="H14" i="9"/>
  <c r="H16" i="9" s="1"/>
  <c r="G14" i="9"/>
  <c r="G16" i="9" s="1"/>
  <c r="G18" i="9" s="1"/>
  <c r="AC46" i="8"/>
  <c r="AC38" i="8"/>
  <c r="AC30" i="8"/>
  <c r="AC15" i="8"/>
  <c r="AC19" i="8" s="1"/>
  <c r="AC21" i="8" s="1"/>
  <c r="G46" i="8"/>
  <c r="K46" i="8"/>
  <c r="M46" i="8"/>
  <c r="G38" i="8"/>
  <c r="K38" i="8"/>
  <c r="L38" i="8"/>
  <c r="M38" i="8"/>
  <c r="G30" i="8"/>
  <c r="G19" i="8"/>
  <c r="H15" i="8"/>
  <c r="H19" i="8" s="1"/>
  <c r="H21" i="8" s="1"/>
  <c r="I15" i="8"/>
  <c r="I19" i="8" s="1"/>
  <c r="I21" i="8" s="1"/>
  <c r="J15" i="8"/>
  <c r="J19" i="8" s="1"/>
  <c r="J21" i="8" s="1"/>
  <c r="K15" i="8"/>
  <c r="K19" i="8" s="1"/>
  <c r="K21" i="8" s="1"/>
  <c r="L19" i="8"/>
  <c r="L21" i="8" s="1"/>
  <c r="M15" i="8"/>
  <c r="M20" i="8" s="1"/>
  <c r="H26" i="8"/>
  <c r="H27" i="8"/>
  <c r="H28" i="8"/>
  <c r="H33" i="8"/>
  <c r="H34" i="8"/>
  <c r="H35" i="8"/>
  <c r="H36" i="8"/>
  <c r="H41" i="8"/>
  <c r="H42" i="8"/>
  <c r="H43" i="8"/>
  <c r="H44" i="8"/>
  <c r="H45" i="8"/>
  <c r="H37" i="8"/>
  <c r="F26" i="9" l="1"/>
  <c r="AB11" i="8"/>
  <c r="AB15" i="8" s="1"/>
  <c r="AB19" i="8" s="1"/>
  <c r="I43" i="8"/>
  <c r="J43" i="8" s="1"/>
  <c r="I45" i="8"/>
  <c r="J45" i="8" s="1"/>
  <c r="AA48" i="8"/>
  <c r="F17" i="9"/>
  <c r="F18" i="9" s="1"/>
  <c r="I23" i="9"/>
  <c r="J23" i="9" s="1"/>
  <c r="I30" i="9"/>
  <c r="M42" i="9"/>
  <c r="I25" i="9"/>
  <c r="J25" i="9" s="1"/>
  <c r="M48" i="8"/>
  <c r="I44" i="8"/>
  <c r="J44" i="8" s="1"/>
  <c r="E42" i="9"/>
  <c r="I24" i="9"/>
  <c r="J24" i="9" s="1"/>
  <c r="AA15" i="8"/>
  <c r="AA20" i="8" s="1"/>
  <c r="AB20" i="8" s="1"/>
  <c r="H30" i="8"/>
  <c r="M16" i="9"/>
  <c r="M18" i="9" s="1"/>
  <c r="AA16" i="9"/>
  <c r="AB17" i="9"/>
  <c r="AB18" i="9" s="1"/>
  <c r="M19" i="8"/>
  <c r="M21" i="8" s="1"/>
  <c r="G42" i="9"/>
  <c r="H38" i="8"/>
  <c r="L14" i="9"/>
  <c r="L17" i="9" s="1"/>
  <c r="D32" i="9"/>
  <c r="F32" i="9" s="1"/>
  <c r="F33" i="9" s="1"/>
  <c r="H36" i="9"/>
  <c r="D37" i="9"/>
  <c r="F37" i="9" s="1"/>
  <c r="H39" i="9"/>
  <c r="H46" i="8"/>
  <c r="I31" i="9"/>
  <c r="J31" i="9" s="1"/>
  <c r="D26" i="9"/>
  <c r="I22" i="9"/>
  <c r="J22" i="9" s="1"/>
  <c r="H26" i="9"/>
  <c r="B33" i="9"/>
  <c r="H30" i="9"/>
  <c r="I29" i="8"/>
  <c r="J29" i="8" s="1"/>
  <c r="I28" i="8"/>
  <c r="J28" i="8" s="1"/>
  <c r="I27" i="8"/>
  <c r="J27" i="8" s="1"/>
  <c r="I42" i="8" l="1"/>
  <c r="J42" i="8" s="1"/>
  <c r="I32" i="9"/>
  <c r="J32" i="9" s="1"/>
  <c r="I37" i="9"/>
  <c r="J30" i="9"/>
  <c r="I26" i="9"/>
  <c r="AA19" i="8"/>
  <c r="AA21" i="8" s="1"/>
  <c r="I35" i="8"/>
  <c r="J35" i="8" s="1"/>
  <c r="H48" i="8"/>
  <c r="I36" i="8"/>
  <c r="J36" i="8" s="1"/>
  <c r="I34" i="8"/>
  <c r="J34" i="8" s="1"/>
  <c r="I41" i="8"/>
  <c r="D33" i="9"/>
  <c r="D36" i="9"/>
  <c r="F36" i="9" s="1"/>
  <c r="R36" i="9" s="1"/>
  <c r="U36" i="9" s="1"/>
  <c r="L16" i="9"/>
  <c r="AA18" i="9"/>
  <c r="Y21" i="8"/>
  <c r="AB21" i="8"/>
  <c r="I29" i="9"/>
  <c r="B40" i="9"/>
  <c r="B42" i="9" s="1"/>
  <c r="C40" i="9"/>
  <c r="C42" i="9" s="1"/>
  <c r="H37" i="9"/>
  <c r="D39" i="9"/>
  <c r="F39" i="9" s="1"/>
  <c r="D38" i="9"/>
  <c r="F38" i="9" s="1"/>
  <c r="H38" i="9"/>
  <c r="E18" i="9"/>
  <c r="H33" i="9"/>
  <c r="H18" i="9"/>
  <c r="F40" i="9" l="1"/>
  <c r="F42" i="9" s="1"/>
  <c r="I26" i="8"/>
  <c r="J26" i="8" s="1"/>
  <c r="I37" i="8"/>
  <c r="J37" i="8" s="1"/>
  <c r="I39" i="9"/>
  <c r="J39" i="9" s="1"/>
  <c r="I33" i="9"/>
  <c r="I38" i="9"/>
  <c r="J38" i="9" s="1"/>
  <c r="I36" i="9"/>
  <c r="I46" i="8"/>
  <c r="J41" i="8"/>
  <c r="J46" i="8" s="1"/>
  <c r="I33" i="8"/>
  <c r="J25" i="8"/>
  <c r="J29" i="9"/>
  <c r="J33" i="9" s="1"/>
  <c r="C21" i="8"/>
  <c r="D40" i="9"/>
  <c r="D42" i="9" s="1"/>
  <c r="L18" i="9"/>
  <c r="J37" i="9"/>
  <c r="H40" i="9"/>
  <c r="H42" i="9" s="1"/>
  <c r="C18" i="9"/>
  <c r="J26" i="9"/>
  <c r="J36" i="9" l="1"/>
  <c r="J40" i="9" s="1"/>
  <c r="J42" i="9" s="1"/>
  <c r="I40" i="9"/>
  <c r="I42" i="9" s="1"/>
  <c r="I38" i="8"/>
  <c r="J33" i="8"/>
  <c r="I30" i="8"/>
  <c r="O40" i="9"/>
  <c r="J38" i="8" l="1"/>
  <c r="I48" i="8"/>
  <c r="AB45" i="8"/>
  <c r="J30" i="8"/>
  <c r="AB38" i="9"/>
  <c r="P39" i="9"/>
  <c r="R39" i="9" s="1"/>
  <c r="U39" i="9" s="1"/>
  <c r="P37" i="9"/>
  <c r="R37" i="9" s="1"/>
  <c r="U37" i="9" s="1"/>
  <c r="AB37" i="9"/>
  <c r="P41" i="8"/>
  <c r="R41" i="8" s="1"/>
  <c r="U41" i="8" s="1"/>
  <c r="P45" i="8"/>
  <c r="R45" i="8" s="1"/>
  <c r="U45" i="8" s="1"/>
  <c r="P43" i="8"/>
  <c r="R43" i="8" s="1"/>
  <c r="U43" i="8" s="1"/>
  <c r="P38" i="9"/>
  <c r="R38" i="9" s="1"/>
  <c r="U38" i="9" s="1"/>
  <c r="U40" i="9" l="1"/>
  <c r="R40" i="9"/>
  <c r="J48" i="8"/>
  <c r="AB43" i="8"/>
  <c r="AD43" i="8" s="1"/>
  <c r="AB41" i="8"/>
  <c r="AD41" i="8" s="1"/>
  <c r="Y40" i="9"/>
  <c r="AD45" i="8"/>
  <c r="L40" i="9"/>
  <c r="L42" i="9" s="1"/>
  <c r="P40" i="9"/>
  <c r="W40" i="9"/>
  <c r="W42" i="9" s="1"/>
  <c r="AD38" i="9"/>
  <c r="AB39" i="9"/>
  <c r="AD39" i="9" s="1"/>
  <c r="AD37" i="9"/>
  <c r="L48" i="8"/>
  <c r="W46" i="8"/>
  <c r="W48" i="8" s="1"/>
  <c r="AD36" i="9" l="1"/>
  <c r="AB40" i="9"/>
  <c r="AD40" i="9" l="1"/>
  <c r="P42" i="8" l="1"/>
  <c r="R42" i="8" s="1"/>
  <c r="U42" i="8" s="1"/>
  <c r="AB42" i="8" l="1"/>
  <c r="AD42" i="8" l="1"/>
  <c r="P44" i="8" l="1"/>
  <c r="R44" i="8" s="1"/>
  <c r="R46" i="8" l="1"/>
  <c r="U44" i="8"/>
  <c r="U46" i="8" s="1"/>
  <c r="AB44" i="8"/>
  <c r="AB46" i="8" s="1"/>
  <c r="Y46" i="8"/>
  <c r="P46" i="8"/>
  <c r="AD44" i="8" l="1"/>
  <c r="AD46" i="8" l="1"/>
  <c r="M41" i="13" l="1"/>
  <c r="G41" i="13"/>
  <c r="N41" i="13"/>
  <c r="N14" i="13" l="1"/>
  <c r="M14" i="13"/>
  <c r="G14" i="13"/>
  <c r="G39" i="13"/>
  <c r="N39" i="13"/>
  <c r="M39" i="13"/>
  <c r="M25" i="13"/>
  <c r="G25" i="13"/>
  <c r="N25" i="13"/>
  <c r="N15" i="13" l="1"/>
  <c r="G15" i="13"/>
  <c r="M15" i="13"/>
  <c r="N40" i="13"/>
  <c r="N42" i="13" s="1"/>
  <c r="G40" i="13"/>
  <c r="G42" i="13" s="1"/>
  <c r="M40" i="13"/>
  <c r="C42" i="13"/>
  <c r="N36" i="13" l="1"/>
  <c r="M36" i="13"/>
  <c r="G36" i="13"/>
  <c r="M42" i="13"/>
  <c r="G44" i="13"/>
  <c r="N44" i="13"/>
  <c r="N21" i="13"/>
  <c r="G21" i="13"/>
  <c r="M21" i="13"/>
  <c r="M13" i="13" l="1"/>
  <c r="C16" i="13"/>
  <c r="N13" i="13"/>
  <c r="G13" i="13"/>
  <c r="M50" i="13"/>
  <c r="N50" i="13"/>
  <c r="G49" i="13"/>
  <c r="G50" i="13" s="1"/>
  <c r="M46" i="13"/>
  <c r="N46" i="13"/>
  <c r="G45" i="13"/>
  <c r="G46" i="13" s="1"/>
  <c r="C46" i="13"/>
  <c r="C52" i="13" s="1"/>
  <c r="M26" i="13"/>
  <c r="N26" i="13"/>
  <c r="N27" i="13" s="1"/>
  <c r="G26" i="13"/>
  <c r="G27" i="13" s="1"/>
  <c r="C27" i="13"/>
  <c r="M52" i="13" l="1"/>
  <c r="N52" i="13"/>
  <c r="G52" i="13"/>
  <c r="M27" i="13"/>
  <c r="M16" i="13"/>
  <c r="N16" i="13"/>
  <c r="G16" i="13"/>
  <c r="G22" i="13" l="1"/>
  <c r="G23" i="13" s="1"/>
  <c r="M22" i="13"/>
  <c r="N22" i="13"/>
  <c r="C23" i="13"/>
  <c r="M31" i="13"/>
  <c r="N31" i="13"/>
  <c r="G30" i="13"/>
  <c r="G31" i="13" s="1"/>
  <c r="M23" i="13" l="1"/>
  <c r="N23" i="13"/>
  <c r="J21" i="13" l="1"/>
  <c r="K21" i="13" l="1"/>
  <c r="Q21" i="13"/>
  <c r="J15" i="13"/>
  <c r="J26" i="13" l="1"/>
  <c r="J14" i="13"/>
  <c r="J25" i="13"/>
  <c r="E27" i="13"/>
  <c r="J41" i="13"/>
  <c r="J45" i="13"/>
  <c r="Q15" i="13"/>
  <c r="R15" i="13" s="1"/>
  <c r="K15" i="13"/>
  <c r="R21" i="13"/>
  <c r="J31" i="13" l="1"/>
  <c r="E46" i="13"/>
  <c r="J44" i="13"/>
  <c r="J49" i="13"/>
  <c r="J50" i="13" s="1"/>
  <c r="J27" i="13"/>
  <c r="K25" i="13"/>
  <c r="Q25" i="13"/>
  <c r="Q45" i="13"/>
  <c r="R45" i="13" s="1"/>
  <c r="K45" i="13"/>
  <c r="K26" i="13"/>
  <c r="Q26" i="13"/>
  <c r="R26" i="13" s="1"/>
  <c r="K41" i="13"/>
  <c r="Q41" i="13"/>
  <c r="R41" i="13" s="1"/>
  <c r="Q14" i="13"/>
  <c r="R14" i="13" s="1"/>
  <c r="K14" i="13"/>
  <c r="J40" i="13"/>
  <c r="Q27" i="13" l="1"/>
  <c r="R25" i="13"/>
  <c r="R27" i="13" s="1"/>
  <c r="Q49" i="13"/>
  <c r="K49" i="13"/>
  <c r="K50" i="13" s="1"/>
  <c r="K40" i="13"/>
  <c r="Q40" i="13"/>
  <c r="R40" i="13" s="1"/>
  <c r="Q30" i="13"/>
  <c r="Q31" i="13" s="1"/>
  <c r="K30" i="13"/>
  <c r="K31" i="13" s="1"/>
  <c r="E42" i="13"/>
  <c r="J39" i="13"/>
  <c r="Q44" i="13"/>
  <c r="J46" i="13"/>
  <c r="K44" i="13"/>
  <c r="K46" i="13" s="1"/>
  <c r="J13" i="13"/>
  <c r="E16" i="13"/>
  <c r="K27" i="13"/>
  <c r="Q50" i="13" l="1"/>
  <c r="E52" i="13"/>
  <c r="R30" i="13"/>
  <c r="R31" i="13" s="1"/>
  <c r="J16" i="13"/>
  <c r="K13" i="13"/>
  <c r="K16" i="13" s="1"/>
  <c r="Q13" i="13"/>
  <c r="J42" i="13"/>
  <c r="K39" i="13"/>
  <c r="K42" i="13" s="1"/>
  <c r="Q39" i="13"/>
  <c r="Q46" i="13"/>
  <c r="R44" i="13"/>
  <c r="R46" i="13" s="1"/>
  <c r="R49" i="13"/>
  <c r="R50" i="13" s="1"/>
  <c r="J22" i="13" l="1"/>
  <c r="E23" i="13"/>
  <c r="Q42" i="13"/>
  <c r="R39" i="13"/>
  <c r="R42" i="13" s="1"/>
  <c r="Q16" i="13"/>
  <c r="R13" i="13"/>
  <c r="R16" i="13" s="1"/>
  <c r="J36" i="13"/>
  <c r="J52" i="13" l="1"/>
  <c r="K36" i="13"/>
  <c r="K52" i="13" s="1"/>
  <c r="Q36" i="13"/>
  <c r="K22" i="13"/>
  <c r="K23" i="13" s="1"/>
  <c r="Q22" i="13"/>
  <c r="J23" i="13"/>
  <c r="Q52" i="13" l="1"/>
  <c r="R36" i="13"/>
  <c r="R52" i="13" s="1"/>
  <c r="R22" i="13"/>
  <c r="R23" i="13" s="1"/>
  <c r="Q23" i="13"/>
  <c r="C33" i="13" l="1"/>
  <c r="N18" i="13" l="1"/>
  <c r="N33" i="13" s="1"/>
  <c r="M18" i="13"/>
  <c r="M33" i="13" s="1"/>
  <c r="G18" i="13"/>
  <c r="G33" i="13" s="1"/>
  <c r="E33" i="13" l="1"/>
  <c r="J18" i="13"/>
  <c r="J33" i="13" s="1"/>
  <c r="K18" i="13" l="1"/>
  <c r="K33" i="13" s="1"/>
  <c r="Q18" i="13"/>
  <c r="Q33" i="13" l="1"/>
  <c r="R18" i="13"/>
  <c r="R33" i="13" s="1"/>
  <c r="E29" i="12" l="1"/>
  <c r="E30" i="12"/>
  <c r="J30" i="12" s="1"/>
  <c r="C30" i="12"/>
  <c r="E48" i="12"/>
  <c r="C49" i="12"/>
  <c r="O22" i="9" s="1"/>
  <c r="E49" i="12"/>
  <c r="J49" i="12" s="1"/>
  <c r="O48" i="12" l="1"/>
  <c r="C50" i="12"/>
  <c r="R48" i="12"/>
  <c r="Q48" i="12"/>
  <c r="P48" i="12"/>
  <c r="G48" i="12"/>
  <c r="R49" i="12"/>
  <c r="Q49" i="12"/>
  <c r="O49" i="12"/>
  <c r="U49" i="12" s="1"/>
  <c r="P49" i="12"/>
  <c r="G49" i="12"/>
  <c r="K49" i="12" s="1"/>
  <c r="L49" i="12" s="1"/>
  <c r="M49" i="12" s="1"/>
  <c r="O25" i="8"/>
  <c r="C31" i="12"/>
  <c r="P29" i="12"/>
  <c r="R29" i="12"/>
  <c r="O29" i="12"/>
  <c r="G29" i="12"/>
  <c r="Q29" i="12"/>
  <c r="Q30" i="12"/>
  <c r="P30" i="12"/>
  <c r="O30" i="12"/>
  <c r="U30" i="12" s="1"/>
  <c r="R30" i="12"/>
  <c r="G30" i="12"/>
  <c r="K30" i="12" s="1"/>
  <c r="L30" i="12" s="1"/>
  <c r="M30" i="12" s="1"/>
  <c r="E50" i="12"/>
  <c r="J48" i="12"/>
  <c r="O29" i="9" s="1"/>
  <c r="E31" i="12"/>
  <c r="J29" i="12"/>
  <c r="O10" i="9" l="1"/>
  <c r="G31" i="12"/>
  <c r="O33" i="8"/>
  <c r="J31" i="12"/>
  <c r="K29" i="12"/>
  <c r="Q31" i="12"/>
  <c r="P22" i="9"/>
  <c r="R22" i="9" s="1"/>
  <c r="U22" i="9" s="1"/>
  <c r="R50" i="12"/>
  <c r="R31" i="12"/>
  <c r="J50" i="12"/>
  <c r="K48" i="12"/>
  <c r="O31" i="12"/>
  <c r="U29" i="12"/>
  <c r="U31" i="12" s="1"/>
  <c r="P25" i="8"/>
  <c r="R25" i="8" s="1"/>
  <c r="U25" i="8" s="1"/>
  <c r="P50" i="12"/>
  <c r="U48" i="12"/>
  <c r="U50" i="12" s="1"/>
  <c r="O50" i="12"/>
  <c r="V49" i="12"/>
  <c r="W49" i="12" s="1"/>
  <c r="X49" i="12" s="1"/>
  <c r="V30" i="12"/>
  <c r="W30" i="12" s="1"/>
  <c r="X30" i="12" s="1"/>
  <c r="G50" i="12"/>
  <c r="P31" i="12"/>
  <c r="Q50" i="12"/>
  <c r="O10" i="8"/>
  <c r="P10" i="8" s="1"/>
  <c r="R10" i="8" s="1"/>
  <c r="U10" i="8" s="1"/>
  <c r="AD10" i="8" l="1"/>
  <c r="V29" i="12"/>
  <c r="V31" i="12" s="1"/>
  <c r="V48" i="12"/>
  <c r="K50" i="12"/>
  <c r="L48" i="12"/>
  <c r="P10" i="9"/>
  <c r="R10" i="9" s="1"/>
  <c r="U10" i="9" s="1"/>
  <c r="K31" i="12"/>
  <c r="L29" i="12"/>
  <c r="AB33" i="8"/>
  <c r="P29" i="9"/>
  <c r="R29" i="9" s="1"/>
  <c r="U29" i="9" s="1"/>
  <c r="AD25" i="8"/>
  <c r="P33" i="8"/>
  <c r="AD22" i="9"/>
  <c r="R33" i="8" l="1"/>
  <c r="U33" i="8" s="1"/>
  <c r="AD33" i="8"/>
  <c r="W29" i="12"/>
  <c r="X29" i="12" s="1"/>
  <c r="X31" i="12" s="1"/>
  <c r="V50" i="12"/>
  <c r="W48" i="12"/>
  <c r="L50" i="12"/>
  <c r="M48" i="12"/>
  <c r="M50" i="12" s="1"/>
  <c r="L31" i="12"/>
  <c r="M29" i="12"/>
  <c r="M31" i="12" s="1"/>
  <c r="AB29" i="9"/>
  <c r="AD29" i="9" s="1"/>
  <c r="AD10" i="9"/>
  <c r="W31" i="12" l="1"/>
  <c r="W50" i="12"/>
  <c r="X48" i="12"/>
  <c r="X50" i="12" s="1"/>
  <c r="C41" i="12" l="1"/>
  <c r="P41" i="12" l="1"/>
  <c r="G41" i="12"/>
  <c r="R41" i="12"/>
  <c r="O41" i="12"/>
  <c r="Q41" i="12"/>
  <c r="R39" i="12" l="1"/>
  <c r="O39" i="12"/>
  <c r="Q39" i="12"/>
  <c r="P39" i="12"/>
  <c r="G39" i="12"/>
  <c r="C40" i="12"/>
  <c r="C42" i="12" s="1"/>
  <c r="O24" i="9" s="1"/>
  <c r="P24" i="9" l="1"/>
  <c r="O61" i="8"/>
  <c r="P61" i="8" s="1"/>
  <c r="R14" i="12"/>
  <c r="G14" i="12"/>
  <c r="O55" i="8" s="1"/>
  <c r="P55" i="8" s="1"/>
  <c r="Q14" i="12"/>
  <c r="O14" i="12"/>
  <c r="P14" i="12"/>
  <c r="P25" i="12"/>
  <c r="O25" i="12"/>
  <c r="R25" i="12"/>
  <c r="G25" i="12"/>
  <c r="Q25" i="12"/>
  <c r="O27" i="8"/>
  <c r="P27" i="8" s="1"/>
  <c r="P18" i="12"/>
  <c r="O18" i="12"/>
  <c r="R18" i="12"/>
  <c r="Q18" i="12"/>
  <c r="G18" i="12"/>
  <c r="O12" i="8" s="1"/>
  <c r="P12" i="8" s="1"/>
  <c r="O62" i="8"/>
  <c r="P62" i="8" s="1"/>
  <c r="P15" i="12"/>
  <c r="R15" i="12"/>
  <c r="G15" i="12"/>
  <c r="O56" i="8" s="1"/>
  <c r="P56" i="8" s="1"/>
  <c r="O15" i="12"/>
  <c r="Q15" i="12"/>
  <c r="O40" i="12"/>
  <c r="O42" i="12" s="1"/>
  <c r="G40" i="12"/>
  <c r="G42" i="12" s="1"/>
  <c r="O12" i="9" s="1"/>
  <c r="P40" i="12"/>
  <c r="P42" i="12" s="1"/>
  <c r="Q40" i="12"/>
  <c r="Q42" i="12" s="1"/>
  <c r="R40" i="12"/>
  <c r="R42" i="12" s="1"/>
  <c r="AD24" i="9" l="1"/>
  <c r="R24" i="9"/>
  <c r="U24" i="9" s="1"/>
  <c r="AD27" i="8"/>
  <c r="R27" i="8"/>
  <c r="U27" i="8" s="1"/>
  <c r="AD12" i="8"/>
  <c r="R12" i="8"/>
  <c r="U12" i="8" s="1"/>
  <c r="P12" i="9"/>
  <c r="P21" i="12"/>
  <c r="O21" i="12"/>
  <c r="G21" i="12"/>
  <c r="R21" i="12"/>
  <c r="Q21" i="12"/>
  <c r="P44" i="12"/>
  <c r="O44" i="12"/>
  <c r="R44" i="12"/>
  <c r="Q44" i="12"/>
  <c r="G44" i="12"/>
  <c r="AD12" i="9" l="1"/>
  <c r="R12" i="9"/>
  <c r="U12" i="9" s="1"/>
  <c r="C26" i="12"/>
  <c r="C45" i="12"/>
  <c r="O60" i="8" l="1"/>
  <c r="Q13" i="12"/>
  <c r="Q16" i="12" s="1"/>
  <c r="P13" i="12"/>
  <c r="P16" i="12" s="1"/>
  <c r="G13" i="12"/>
  <c r="O13" i="12"/>
  <c r="R13" i="12"/>
  <c r="R16" i="12" s="1"/>
  <c r="C16" i="12"/>
  <c r="Q36" i="12"/>
  <c r="O36" i="12"/>
  <c r="P36" i="12"/>
  <c r="G36" i="12"/>
  <c r="O11" i="9" s="1"/>
  <c r="R36" i="12"/>
  <c r="P26" i="12"/>
  <c r="O26" i="12"/>
  <c r="G26" i="12"/>
  <c r="G27" i="12" s="1"/>
  <c r="O14" i="8" s="1"/>
  <c r="P14" i="8" s="1"/>
  <c r="R14" i="8" s="1"/>
  <c r="U14" i="8" s="1"/>
  <c r="R26" i="12"/>
  <c r="R27" i="12" s="1"/>
  <c r="Q26" i="12"/>
  <c r="C27" i="12"/>
  <c r="O29" i="8" s="1"/>
  <c r="P29" i="8" s="1"/>
  <c r="P45" i="12"/>
  <c r="O45" i="12"/>
  <c r="Q45" i="12"/>
  <c r="Q46" i="12" s="1"/>
  <c r="R45" i="12"/>
  <c r="R46" i="12" s="1"/>
  <c r="G45" i="12"/>
  <c r="C46" i="12"/>
  <c r="AD29" i="8" l="1"/>
  <c r="R29" i="8"/>
  <c r="U29" i="8" s="1"/>
  <c r="AD14" i="8"/>
  <c r="O25" i="9"/>
  <c r="P25" i="9" s="1"/>
  <c r="C52" i="12"/>
  <c r="O22" i="12"/>
  <c r="O23" i="12" s="1"/>
  <c r="P22" i="12"/>
  <c r="Q22" i="12"/>
  <c r="R22" i="12"/>
  <c r="G22" i="12"/>
  <c r="G23" i="12" s="1"/>
  <c r="O13" i="8" s="1"/>
  <c r="C23" i="12"/>
  <c r="O28" i="8" s="1"/>
  <c r="P28" i="8" s="1"/>
  <c r="R52" i="12"/>
  <c r="P23" i="9"/>
  <c r="R23" i="9" s="1"/>
  <c r="U23" i="9" s="1"/>
  <c r="O16" i="12"/>
  <c r="P60" i="8"/>
  <c r="P63" i="8" s="1"/>
  <c r="O63" i="8"/>
  <c r="O26" i="8" s="1"/>
  <c r="G46" i="12"/>
  <c r="P46" i="12"/>
  <c r="P52" i="12" s="1"/>
  <c r="O46" i="12"/>
  <c r="O52" i="12" s="1"/>
  <c r="Q27" i="12"/>
  <c r="P27" i="12"/>
  <c r="O27" i="12"/>
  <c r="Q52" i="12"/>
  <c r="O54" i="8"/>
  <c r="G16" i="12"/>
  <c r="C33" i="12" l="1"/>
  <c r="AD25" i="9"/>
  <c r="R25" i="9"/>
  <c r="AD28" i="8"/>
  <c r="R28" i="8"/>
  <c r="U28" i="8" s="1"/>
  <c r="O13" i="9"/>
  <c r="P13" i="9" s="1"/>
  <c r="O26" i="9"/>
  <c r="AD23" i="9"/>
  <c r="P26" i="9"/>
  <c r="P13" i="8"/>
  <c r="R13" i="8" s="1"/>
  <c r="U13" i="8" s="1"/>
  <c r="P54" i="8"/>
  <c r="P57" i="8" s="1"/>
  <c r="O57" i="8"/>
  <c r="O11" i="8" s="1"/>
  <c r="P11" i="8" s="1"/>
  <c r="P11" i="9"/>
  <c r="R11" i="9" s="1"/>
  <c r="U11" i="9" s="1"/>
  <c r="P26" i="8"/>
  <c r="R26" i="8" s="1"/>
  <c r="U26" i="8" s="1"/>
  <c r="U30" i="8" s="1"/>
  <c r="O30" i="8"/>
  <c r="P23" i="12"/>
  <c r="P33" i="12" s="1"/>
  <c r="Q23" i="12"/>
  <c r="Q33" i="12" s="1"/>
  <c r="G33" i="12"/>
  <c r="G52" i="12"/>
  <c r="R23" i="12"/>
  <c r="R33" i="12" s="1"/>
  <c r="O33" i="12"/>
  <c r="R26" i="9" l="1"/>
  <c r="U25" i="9"/>
  <c r="U26" i="9" s="1"/>
  <c r="AD13" i="9"/>
  <c r="R13" i="9"/>
  <c r="R30" i="8"/>
  <c r="AD11" i="8"/>
  <c r="R11" i="8"/>
  <c r="O14" i="9"/>
  <c r="O16" i="9" s="1"/>
  <c r="AD26" i="8"/>
  <c r="P30" i="8"/>
  <c r="AD26" i="9"/>
  <c r="AD11" i="9"/>
  <c r="P14" i="9"/>
  <c r="P16" i="9" s="1"/>
  <c r="O15" i="8"/>
  <c r="P15" i="8"/>
  <c r="P19" i="8" s="1"/>
  <c r="AD13" i="8"/>
  <c r="R15" i="8" l="1"/>
  <c r="U11" i="8"/>
  <c r="U15" i="8" s="1"/>
  <c r="R14" i="9"/>
  <c r="U13" i="9"/>
  <c r="U14" i="9" s="1"/>
  <c r="O17" i="9"/>
  <c r="AD30" i="8"/>
  <c r="O20" i="8"/>
  <c r="O19" i="8"/>
  <c r="AD14" i="9"/>
  <c r="AD16" i="9" s="1"/>
  <c r="AD15" i="8"/>
  <c r="AD19" i="8" s="1"/>
  <c r="U19" i="8" l="1"/>
  <c r="U20" i="8"/>
  <c r="R19" i="8"/>
  <c r="R20" i="8"/>
  <c r="U16" i="9"/>
  <c r="U17" i="9"/>
  <c r="R16" i="9"/>
  <c r="R17" i="9"/>
  <c r="P17" i="9"/>
  <c r="P20" i="8"/>
  <c r="O18" i="9"/>
  <c r="E15" i="12"/>
  <c r="J15" i="12" s="1"/>
  <c r="E21" i="12"/>
  <c r="O21" i="8"/>
  <c r="U21" i="8" l="1"/>
  <c r="R18" i="9"/>
  <c r="U18" i="9"/>
  <c r="AD20" i="8"/>
  <c r="AD21" i="8" s="1"/>
  <c r="AD17" i="9"/>
  <c r="P18" i="9"/>
  <c r="P21" i="8"/>
  <c r="R21" i="8"/>
  <c r="E14" i="12"/>
  <c r="J14" i="12" s="1"/>
  <c r="O68" i="8"/>
  <c r="P68" i="8" s="1"/>
  <c r="K15" i="12"/>
  <c r="U15" i="12"/>
  <c r="V15" i="12" s="1"/>
  <c r="W15" i="12" s="1"/>
  <c r="X15" i="12" s="1"/>
  <c r="J21" i="12"/>
  <c r="E25" i="12"/>
  <c r="AD18" i="9" l="1"/>
  <c r="J25" i="12"/>
  <c r="Y68" i="8"/>
  <c r="AB68" i="8" s="1"/>
  <c r="L15" i="12"/>
  <c r="E18" i="12"/>
  <c r="J18" i="12" s="1"/>
  <c r="E26" i="12"/>
  <c r="J26" i="12" s="1"/>
  <c r="K21" i="12"/>
  <c r="U21" i="12"/>
  <c r="K14" i="12"/>
  <c r="O67" i="8"/>
  <c r="P67" i="8" s="1"/>
  <c r="U14" i="12"/>
  <c r="V14" i="12" s="1"/>
  <c r="W14" i="12" s="1"/>
  <c r="X14" i="12" s="1"/>
  <c r="E41" i="12"/>
  <c r="J41" i="12" s="1"/>
  <c r="E45" i="12"/>
  <c r="J45" i="12" s="1"/>
  <c r="E44" i="12"/>
  <c r="E13" i="12" l="1"/>
  <c r="K41" i="12"/>
  <c r="L41" i="12" s="1"/>
  <c r="M41" i="12" s="1"/>
  <c r="U41" i="12"/>
  <c r="V41" i="12" s="1"/>
  <c r="W41" i="12" s="1"/>
  <c r="X41" i="12" s="1"/>
  <c r="Y67" i="8"/>
  <c r="AB67" i="8" s="1"/>
  <c r="L14" i="12"/>
  <c r="K26" i="12"/>
  <c r="L26" i="12" s="1"/>
  <c r="M26" i="12" s="1"/>
  <c r="U26" i="12"/>
  <c r="V26" i="12" s="1"/>
  <c r="W26" i="12" s="1"/>
  <c r="X26" i="12" s="1"/>
  <c r="M15" i="12"/>
  <c r="L21" i="12"/>
  <c r="J27" i="12"/>
  <c r="O37" i="8" s="1"/>
  <c r="P37" i="8" s="1"/>
  <c r="R37" i="8" s="1"/>
  <c r="U37" i="8" s="1"/>
  <c r="K25" i="12"/>
  <c r="U25" i="12"/>
  <c r="E46" i="12"/>
  <c r="J44" i="12"/>
  <c r="K45" i="12"/>
  <c r="L45" i="12" s="1"/>
  <c r="M45" i="12" s="1"/>
  <c r="U45" i="12"/>
  <c r="V45" i="12" s="1"/>
  <c r="W45" i="12" s="1"/>
  <c r="X45" i="12" s="1"/>
  <c r="O35" i="8"/>
  <c r="P35" i="8" s="1"/>
  <c r="R35" i="8" s="1"/>
  <c r="U35" i="8" s="1"/>
  <c r="K18" i="12"/>
  <c r="U18" i="12"/>
  <c r="V18" i="12" s="1"/>
  <c r="W18" i="12" s="1"/>
  <c r="X18" i="12" s="1"/>
  <c r="V21" i="12"/>
  <c r="E27" i="12"/>
  <c r="W21" i="12" l="1"/>
  <c r="AB35" i="8"/>
  <c r="AD35" i="8" s="1"/>
  <c r="L18" i="12"/>
  <c r="J46" i="12"/>
  <c r="K44" i="12"/>
  <c r="U44" i="12"/>
  <c r="E40" i="12"/>
  <c r="J40" i="12" s="1"/>
  <c r="K27" i="12"/>
  <c r="AB37" i="8" s="1"/>
  <c r="AD37" i="8" s="1"/>
  <c r="L25" i="12"/>
  <c r="M14" i="12"/>
  <c r="J13" i="12"/>
  <c r="E16" i="12"/>
  <c r="E39" i="12"/>
  <c r="U27" i="12"/>
  <c r="V25" i="12"/>
  <c r="M21" i="12"/>
  <c r="O32" i="9" l="1"/>
  <c r="P32" i="9" s="1"/>
  <c r="R32" i="9" s="1"/>
  <c r="U32" i="9" s="1"/>
  <c r="O66" i="8"/>
  <c r="J16" i="12"/>
  <c r="K13" i="12"/>
  <c r="U13" i="12"/>
  <c r="L44" i="12"/>
  <c r="K46" i="12"/>
  <c r="X21" i="12"/>
  <c r="W25" i="12"/>
  <c r="V27" i="12"/>
  <c r="M25" i="12"/>
  <c r="M27" i="12" s="1"/>
  <c r="L27" i="12"/>
  <c r="U46" i="12"/>
  <c r="V44" i="12"/>
  <c r="M18" i="12"/>
  <c r="E42" i="12"/>
  <c r="J39" i="12"/>
  <c r="K40" i="12"/>
  <c r="L40" i="12" s="1"/>
  <c r="M40" i="12" s="1"/>
  <c r="U40" i="12"/>
  <c r="V40" i="12" s="1"/>
  <c r="W40" i="12" s="1"/>
  <c r="X40" i="12" s="1"/>
  <c r="AB32" i="9" l="1"/>
  <c r="AD32" i="9" s="1"/>
  <c r="X25" i="12"/>
  <c r="X27" i="12" s="1"/>
  <c r="W27" i="12"/>
  <c r="L46" i="12"/>
  <c r="M44" i="12"/>
  <c r="M46" i="12" s="1"/>
  <c r="P66" i="8"/>
  <c r="P69" i="8" s="1"/>
  <c r="O69" i="8"/>
  <c r="O34" i="8" s="1"/>
  <c r="P34" i="8" s="1"/>
  <c r="E22" i="12"/>
  <c r="K39" i="12"/>
  <c r="J42" i="12"/>
  <c r="O31" i="9" s="1"/>
  <c r="U39" i="12"/>
  <c r="V46" i="12"/>
  <c r="W44" i="12"/>
  <c r="Y66" i="8"/>
  <c r="K16" i="12"/>
  <c r="L13" i="12"/>
  <c r="V13" i="12"/>
  <c r="U16" i="12"/>
  <c r="W46" i="12" l="1"/>
  <c r="X44" i="12"/>
  <c r="X46" i="12" s="1"/>
  <c r="L39" i="12"/>
  <c r="K42" i="12"/>
  <c r="Y69" i="8"/>
  <c r="AB66" i="8"/>
  <c r="AB69" i="8" s="1"/>
  <c r="P31" i="9"/>
  <c r="R31" i="9" s="1"/>
  <c r="U31" i="9" s="1"/>
  <c r="R34" i="8"/>
  <c r="U34" i="8" s="1"/>
  <c r="E36" i="12"/>
  <c r="AB34" i="8"/>
  <c r="U42" i="12"/>
  <c r="V39" i="12"/>
  <c r="W13" i="12"/>
  <c r="V16" i="12"/>
  <c r="L16" i="12"/>
  <c r="M13" i="12"/>
  <c r="M16" i="12" s="1"/>
  <c r="J22" i="12"/>
  <c r="E23" i="12"/>
  <c r="E33" i="12" s="1"/>
  <c r="AD34" i="8" l="1"/>
  <c r="X13" i="12"/>
  <c r="X16" i="12" s="1"/>
  <c r="W16" i="12"/>
  <c r="M39" i="12"/>
  <c r="M42" i="12" s="1"/>
  <c r="L42" i="12"/>
  <c r="U22" i="12"/>
  <c r="K22" i="12"/>
  <c r="J23" i="12"/>
  <c r="J33" i="12" s="1"/>
  <c r="V42" i="12"/>
  <c r="W39" i="12"/>
  <c r="J36" i="12"/>
  <c r="O30" i="9" s="1"/>
  <c r="E52" i="12"/>
  <c r="AB31" i="9"/>
  <c r="W42" i="12" l="1"/>
  <c r="X39" i="12"/>
  <c r="X42" i="12" s="1"/>
  <c r="V22" i="12"/>
  <c r="U23" i="12"/>
  <c r="U33" i="12" s="1"/>
  <c r="K36" i="12"/>
  <c r="U36" i="12"/>
  <c r="J52" i="12"/>
  <c r="L22" i="12"/>
  <c r="K23" i="12"/>
  <c r="K33" i="12" s="1"/>
  <c r="O36" i="8"/>
  <c r="AD31" i="9"/>
  <c r="M22" i="12" l="1"/>
  <c r="M23" i="12" s="1"/>
  <c r="M33" i="12" s="1"/>
  <c r="L23" i="12"/>
  <c r="L33" i="12" s="1"/>
  <c r="P30" i="9"/>
  <c r="O33" i="9"/>
  <c r="O42" i="9" s="1"/>
  <c r="W22" i="12"/>
  <c r="V23" i="12"/>
  <c r="V33" i="12" s="1"/>
  <c r="L36" i="12"/>
  <c r="K52" i="12"/>
  <c r="P36" i="8"/>
  <c r="R36" i="8" s="1"/>
  <c r="O38" i="8"/>
  <c r="O48" i="8" s="1"/>
  <c r="V36" i="12"/>
  <c r="U52" i="12"/>
  <c r="R38" i="8" l="1"/>
  <c r="R48" i="8" s="1"/>
  <c r="U36" i="8"/>
  <c r="U38" i="8" s="1"/>
  <c r="U48" i="8" s="1"/>
  <c r="P33" i="9"/>
  <c r="P42" i="9" s="1"/>
  <c r="R30" i="9"/>
  <c r="M36" i="12"/>
  <c r="M52" i="12" s="1"/>
  <c r="L52" i="12"/>
  <c r="W36" i="12"/>
  <c r="V52" i="12"/>
  <c r="AB36" i="8"/>
  <c r="Y38" i="8"/>
  <c r="Y48" i="8" s="1"/>
  <c r="P38" i="8"/>
  <c r="P48" i="8" s="1"/>
  <c r="X22" i="12"/>
  <c r="X23" i="12" s="1"/>
  <c r="X33" i="12" s="1"/>
  <c r="W23" i="12"/>
  <c r="W33" i="12" s="1"/>
  <c r="AB30" i="9"/>
  <c r="Y33" i="9"/>
  <c r="Y42" i="9" s="1"/>
  <c r="R33" i="9" l="1"/>
  <c r="R42" i="9" s="1"/>
  <c r="U30" i="9"/>
  <c r="U33" i="9" s="1"/>
  <c r="U42" i="9" s="1"/>
  <c r="AB38" i="8"/>
  <c r="AB48" i="8" s="1"/>
  <c r="X36" i="12"/>
  <c r="X52" i="12" s="1"/>
  <c r="W52" i="12"/>
  <c r="AD30" i="9"/>
  <c r="AB33" i="9"/>
  <c r="AB42" i="9" s="1"/>
  <c r="AD44" i="9" s="1"/>
  <c r="AD36" i="8"/>
  <c r="AD38" i="8" s="1"/>
  <c r="AD48" i="8" s="1"/>
  <c r="AD33" i="9" l="1"/>
  <c r="AD42" i="9" s="1"/>
</calcChain>
</file>

<file path=xl/comments1.xml><?xml version="1.0" encoding="utf-8"?>
<comments xmlns="http://schemas.openxmlformats.org/spreadsheetml/2006/main">
  <authors>
    <author>Hancock, Christopher (UTC)</author>
  </authors>
  <commentList>
    <comment ref="R20" authorId="0" shapeId="0">
      <text>
        <r>
          <rPr>
            <b/>
            <sz val="9"/>
            <color indexed="81"/>
            <rFont val="Tahoma"/>
            <family val="2"/>
          </rPr>
          <t>Hancock, Christopher (UTC):</t>
        </r>
        <r>
          <rPr>
            <sz val="9"/>
            <color indexed="81"/>
            <rFont val="Tahoma"/>
            <family val="2"/>
          </rPr>
          <t xml:space="preserve">
Previous value: =SUM(O20:Q20); but this is incorrect, as this results in double-counting cell O20 (since P20 is a function of O20)</t>
        </r>
      </text>
    </comment>
  </commentList>
</comments>
</file>

<file path=xl/comments2.xml><?xml version="1.0" encoding="utf-8"?>
<comments xmlns="http://schemas.openxmlformats.org/spreadsheetml/2006/main">
  <authors>
    <author>Hancock, Christopher (UTC)</author>
  </authors>
  <commentList>
    <comment ref="R17" authorId="0" shapeId="0">
      <text>
        <r>
          <rPr>
            <b/>
            <sz val="9"/>
            <color indexed="81"/>
            <rFont val="Tahoma"/>
            <family val="2"/>
          </rPr>
          <t>Hancock, Christopher (UTC):</t>
        </r>
        <r>
          <rPr>
            <sz val="9"/>
            <color indexed="81"/>
            <rFont val="Tahoma"/>
            <family val="2"/>
          </rPr>
          <t xml:space="preserve">
Old value: =SUM(N17:Q17)</t>
        </r>
      </text>
    </comment>
  </commentList>
</comments>
</file>

<file path=xl/sharedStrings.xml><?xml version="1.0" encoding="utf-8"?>
<sst xmlns="http://schemas.openxmlformats.org/spreadsheetml/2006/main" count="820" uniqueCount="287">
  <si>
    <t>1st Year Rate</t>
  </si>
  <si>
    <t>2nd Year Rate</t>
  </si>
  <si>
    <t>Avista Utilities</t>
  </si>
  <si>
    <t>Total Expenses</t>
  </si>
  <si>
    <t>Net Operating Income Before FIT</t>
  </si>
  <si>
    <t xml:space="preserve">   Net Operating Income</t>
  </si>
  <si>
    <t xml:space="preserve">   Net Rate Base</t>
  </si>
  <si>
    <t>Plant Cost</t>
  </si>
  <si>
    <t>Plant Additions</t>
  </si>
  <si>
    <t>Description</t>
  </si>
  <si>
    <t>Adjustment</t>
  </si>
  <si>
    <t>Distribution</t>
  </si>
  <si>
    <t>General Plant</t>
  </si>
  <si>
    <t>GP</t>
  </si>
  <si>
    <t>Estimated Annual Deprec Expense</t>
  </si>
  <si>
    <t>Generation</t>
  </si>
  <si>
    <t>Thermal</t>
  </si>
  <si>
    <t>Hydro</t>
  </si>
  <si>
    <t>Other</t>
  </si>
  <si>
    <t>Subtotal</t>
  </si>
  <si>
    <t>Transmission</t>
  </si>
  <si>
    <t>Direct</t>
  </si>
  <si>
    <t>AN</t>
  </si>
  <si>
    <t>Transport.</t>
  </si>
  <si>
    <t>Software</t>
  </si>
  <si>
    <t>Electric Total</t>
  </si>
  <si>
    <t>Gas U/G Storage</t>
  </si>
  <si>
    <t>AA</t>
  </si>
  <si>
    <t>Gas Total</t>
  </si>
  <si>
    <t>EOP Cost</t>
  </si>
  <si>
    <t>AMA Cost</t>
  </si>
  <si>
    <t>Book Rate</t>
  </si>
  <si>
    <t>Tax Rate</t>
  </si>
  <si>
    <t>P/T/D</t>
  </si>
  <si>
    <t>Intangible</t>
  </si>
  <si>
    <t>Production</t>
  </si>
  <si>
    <t>General</t>
  </si>
  <si>
    <t>Total Plant Cost</t>
  </si>
  <si>
    <t>Total Accumulated Depreciation</t>
  </si>
  <si>
    <t>EOP</t>
  </si>
  <si>
    <t>AMA</t>
  </si>
  <si>
    <t>New Revenue</t>
  </si>
  <si>
    <t>Total Accumulated DFIT</t>
  </si>
  <si>
    <t xml:space="preserve">Accumulated Depreciation </t>
  </si>
  <si>
    <t>Accumulated DFIT</t>
  </si>
  <si>
    <t>RECONCILIATION</t>
  </si>
  <si>
    <t>Additions</t>
  </si>
  <si>
    <t>Revenue Plant</t>
  </si>
  <si>
    <t>Electric Adjustment</t>
  </si>
  <si>
    <t>Gas Adjustment</t>
  </si>
  <si>
    <t>U/G Storage</t>
  </si>
  <si>
    <t>,</t>
  </si>
  <si>
    <t xml:space="preserve">     Steam</t>
  </si>
  <si>
    <t xml:space="preserve">     Hydro</t>
  </si>
  <si>
    <t xml:space="preserve">     Other</t>
  </si>
  <si>
    <t>Additional Detail for Cost of Service</t>
  </si>
  <si>
    <t>Depreciation Expense</t>
  </si>
  <si>
    <t>Total Production Depreciation Expense</t>
  </si>
  <si>
    <t>Plant in Service</t>
  </si>
  <si>
    <t>Accumulated Depreciation</t>
  </si>
  <si>
    <t>Total Production Accumulated Depreciation</t>
  </si>
  <si>
    <t>Total Production Plant in Service</t>
  </si>
  <si>
    <t>Depreciation/Amortization Expense</t>
  </si>
  <si>
    <t>FIT Benefit of Depreciation/Amortization</t>
  </si>
  <si>
    <t>12.31.13 Depreciation</t>
  </si>
  <si>
    <t>12.31.14</t>
  </si>
  <si>
    <t>2015 ADJUSTMENT</t>
  </si>
  <si>
    <t>2015 Plant</t>
  </si>
  <si>
    <t>12.31.15</t>
  </si>
  <si>
    <t>3rd Year Rate</t>
  </si>
  <si>
    <t>4th Year Rate</t>
  </si>
  <si>
    <t xml:space="preserve">Transportation Expense </t>
  </si>
  <si>
    <t>Total  Depreciation Expense</t>
  </si>
  <si>
    <t>Transportation Expense</t>
  </si>
  <si>
    <t>Difference EOP&gt;AMA</t>
  </si>
  <si>
    <t xml:space="preserve">ROO </t>
  </si>
  <si>
    <t>Tax Depreciation</t>
  </si>
  <si>
    <t>Accumualted DFIT</t>
  </si>
  <si>
    <t>12.31.16</t>
  </si>
  <si>
    <t xml:space="preserve">Subtotal </t>
  </si>
  <si>
    <t>Pro Forma Adjustment Calculation</t>
  </si>
  <si>
    <t>2015 Additions</t>
  </si>
  <si>
    <r>
      <rPr>
        <b/>
        <sz val="9"/>
        <rFont val="Arial"/>
        <family val="2"/>
      </rPr>
      <t>Note:</t>
    </r>
    <r>
      <rPr>
        <sz val="10"/>
        <rFont val="Arial"/>
        <family val="2"/>
      </rPr>
      <t xml:space="preserve"> DFIT is calculated using a 10/2 (Actuals/Forecast) with additions at December 31, 2013. Therefore, for the period June 30, 2013 - December 31, 2013, for DFIT, additions have been taken into account and are inlcuded as a part of the June 30, 2013 DFIT Balance in each of the adjustment years 12.31.13-2015. </t>
    </r>
  </si>
  <si>
    <t>Adjustment Number- Exhibit No_(EMA-4)</t>
  </si>
  <si>
    <t>Workpaper Reference - Exhibit No.__(EMA - 4)</t>
  </si>
  <si>
    <t>E-CAP14</t>
  </si>
  <si>
    <t>E-CAP15</t>
  </si>
  <si>
    <t>E-ROO - 1.00</t>
  </si>
  <si>
    <t>Adjustment Number- Exhibit No_(EMA-5)</t>
  </si>
  <si>
    <t>Workpaper Reference - Exhibit No.__(EMA - 5)</t>
  </si>
  <si>
    <t>G-CAP14</t>
  </si>
  <si>
    <t>NR.1 + NR.2</t>
  </si>
  <si>
    <t>9.30.2014 ADJUSTMENT</t>
  </si>
  <si>
    <t>12.31.2014 ADJUSTMENT</t>
  </si>
  <si>
    <t>E-EOP E-DEPX, E-AMTX</t>
  </si>
  <si>
    <t>DEPR.2</t>
  </si>
  <si>
    <t>12.31.14 Depreciation</t>
  </si>
  <si>
    <t>9.30.14</t>
  </si>
  <si>
    <t>9.30.2014 AMA</t>
  </si>
  <si>
    <t>9.30.14 (exclude new revenue)</t>
  </si>
  <si>
    <t>9.30.14 Plant</t>
  </si>
  <si>
    <t>9.30.14 New</t>
  </si>
  <si>
    <t>3 Mos. Ended 12.31.14 Plant</t>
  </si>
  <si>
    <t xml:space="preserve">2014 Additions </t>
  </si>
  <si>
    <t>Test Year Ended September 30, 2014 Ratebase Adjusted to 12/31/16 AMA</t>
  </si>
  <si>
    <t>12.31.17</t>
  </si>
  <si>
    <t>2016 Additions</t>
  </si>
  <si>
    <t>Transport. &amp; Hardware</t>
  </si>
  <si>
    <t>Hardware</t>
  </si>
  <si>
    <t xml:space="preserve">9.30.2014 BALANCE </t>
  </si>
  <si>
    <r>
      <rPr>
        <b/>
        <sz val="9"/>
        <rFont val="Arial"/>
        <family val="2"/>
      </rPr>
      <t>Note:</t>
    </r>
    <r>
      <rPr>
        <sz val="10"/>
        <rFont val="Arial"/>
        <family val="2"/>
      </rPr>
      <t xml:space="preserve"> DFIT is calculated using a 10/2 (Actuals/Forecast) with additions at December 31, 2014. Therefore, for the period September 30, 2014 - December 31, 2014, for DFIT, additions have been taken into account and are inlcuded as a part of the September 30, 2013 DFIT Balance in each of the adjustment years 12.31.13-2015. </t>
    </r>
  </si>
  <si>
    <t xml:space="preserve">1.5 &amp; 1.6 ADFIT </t>
  </si>
  <si>
    <t>2014 AMA</t>
  </si>
  <si>
    <t>Retirements</t>
  </si>
  <si>
    <t xml:space="preserve">3 Mos. Ended 12.31.14 </t>
  </si>
  <si>
    <t>Software 39%</t>
  </si>
  <si>
    <t>Hardware 61%</t>
  </si>
  <si>
    <t xml:space="preserve">E-CAP SUMMARY </t>
  </si>
  <si>
    <t xml:space="preserve">G-CAP SUMMARY </t>
  </si>
  <si>
    <t>CAP15.1</t>
  </si>
  <si>
    <t>CAP16.1</t>
  </si>
  <si>
    <t xml:space="preserve">Pro Forma Adjustment Calculation- WA </t>
  </si>
  <si>
    <t>AMI Meters</t>
  </si>
  <si>
    <t xml:space="preserve">Compass-Hardware </t>
  </si>
  <si>
    <t xml:space="preserve">Hardware </t>
  </si>
  <si>
    <t xml:space="preserve">Compass-Software </t>
  </si>
  <si>
    <t xml:space="preserve">Software </t>
  </si>
  <si>
    <t>Total IT</t>
  </si>
  <si>
    <t xml:space="preserve">Compass-Hardware  </t>
  </si>
  <si>
    <t>Compass- Software</t>
  </si>
  <si>
    <t>Hardware - 61%</t>
  </si>
  <si>
    <t>Software - 39%</t>
  </si>
  <si>
    <t>CAP14.1</t>
  </si>
  <si>
    <t xml:space="preserve">Retirements </t>
  </si>
  <si>
    <t>Old Meters</t>
  </si>
  <si>
    <t xml:space="preserve">Total Adjustment </t>
  </si>
  <si>
    <t>Total 2014</t>
  </si>
  <si>
    <t>Reduction in expense</t>
  </si>
  <si>
    <t>AMA Retirements AMI</t>
  </si>
  <si>
    <t xml:space="preserve">Note 2: The retirements above assume that the assets are fully depreciated for book and tax purposes, therefore, there is no ADFIT impact. </t>
  </si>
  <si>
    <t>2.3 CDA Legal Costs</t>
  </si>
  <si>
    <t>1.2 E-EOP E-PLT</t>
  </si>
  <si>
    <t>1.2 E-AMA E-PLT</t>
  </si>
  <si>
    <t>1.3 G-EOP E-PLT</t>
  </si>
  <si>
    <t>1.3 G-AMA E-PLT</t>
  </si>
  <si>
    <t xml:space="preserve">Pro Forma </t>
  </si>
  <si>
    <t>Sub-Total</t>
  </si>
  <si>
    <t>PF-Ttl</t>
  </si>
  <si>
    <t>From orig pro forma filing</t>
  </si>
  <si>
    <t xml:space="preserve">AVISTA UTILITIES  </t>
  </si>
  <si>
    <t>WASHINGTON ELECTRIC RESULTS - PRO FORMA STUDY</t>
  </si>
  <si>
    <t>CROSS CHECK</t>
  </si>
  <si>
    <t>TWELVE MONTHS ENDED SEPTEMBER 30, 2014</t>
  </si>
  <si>
    <t xml:space="preserve">(000'S OF DOLLARS)  </t>
  </si>
  <si>
    <t>Line</t>
  </si>
  <si>
    <t>No.</t>
  </si>
  <si>
    <t>DESCRIPTION</t>
  </si>
  <si>
    <t xml:space="preserve">Adjustment Number </t>
  </si>
  <si>
    <t>Workpaper Reference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</si>
  <si>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</si>
  <si>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</si>
  <si>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</si>
  <si>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</si>
  <si>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</si>
  <si>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</si>
  <si>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</si>
  <si>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</si>
  <si>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</si>
  <si>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</si>
  <si>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</si>
  <si>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</si>
  <si>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</si>
  <si>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</si>
  <si>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</si>
  <si>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</si>
  <si>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</si>
  <si>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</si>
  <si>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</si>
  <si>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</si>
  <si>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</si>
  <si>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</si>
  <si>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</si>
  <si>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</si>
  <si>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</si>
  <si>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</si>
  <si>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</si>
  <si>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</si>
  <si>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</si>
  <si>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</si>
  <si>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</si>
  <si>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</si>
  <si>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</si>
  <si>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</si>
  <si>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</si>
  <si>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</si>
  <si>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</si>
  <si>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</si>
  <si>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</si>
  <si>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</si>
  <si>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</si>
  <si>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</si>
  <si>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</si>
  <si>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</si>
  <si>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</si>
  <si>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>Revenue Conversion Factor</t>
  </si>
  <si>
    <t>NOI Requirement</t>
  </si>
  <si>
    <t>Revenue Requirement</t>
  </si>
  <si>
    <t>DR 131 Att D Pg 7</t>
  </si>
  <si>
    <t>Planned</t>
  </si>
  <si>
    <t>From DR 131, pro forma model</t>
  </si>
  <si>
    <t>Staff Recreated 3.12U</t>
  </si>
  <si>
    <t>Check</t>
  </si>
  <si>
    <t>`</t>
  </si>
  <si>
    <t>This worksheet reproduces the Company's PDF workpaper in their response to Staff DR 131, Attachment D, page 7, to verify accuracy of Company Adjustment 3.12U.</t>
  </si>
  <si>
    <t>PF-STtl</t>
  </si>
  <si>
    <t>1.2 G-EOP E-PLT</t>
  </si>
  <si>
    <t>1.2 G-AMA E-PLT</t>
  </si>
  <si>
    <t>This worksheet reproduces the Company's PDF workpaper in their response to Staff DR 131, Attachment D, page 13, to verify accuracy of Company Adjustment 3.7U.</t>
  </si>
  <si>
    <t>DR 131 Att D Pg 13</t>
  </si>
  <si>
    <t>WASHINGTON NATURAL GAS - PRO FORMA STUDY</t>
  </si>
  <si>
    <t>Adjsutment Number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</si>
  <si>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</si>
  <si>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</si>
  <si>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</si>
  <si>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</si>
  <si>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</si>
  <si>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</si>
  <si>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</si>
  <si>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</si>
  <si>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</si>
  <si>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</si>
  <si>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</si>
  <si>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</si>
  <si>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</si>
  <si>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Taxes</t>
  </si>
  <si>
    <t>Total Underground Storage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</si>
  <si>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</si>
  <si>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</si>
  <si>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</si>
  <si>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</si>
  <si>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</si>
  <si>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</si>
  <si>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</si>
  <si>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</si>
  <si>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</si>
  <si>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</si>
  <si>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</si>
  <si>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</si>
  <si>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</si>
  <si>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</si>
  <si>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</t>
  </si>
  <si>
    <t>PLANT IN SERVICE</t>
  </si>
  <si>
    <t>Distribution Plant</t>
  </si>
  <si>
    <t>Total Plant in Service</t>
  </si>
  <si>
    <t>Total Accumulated Depreciation/Amortization</t>
  </si>
  <si>
    <t>NET PLANT</t>
  </si>
  <si>
    <t>DEFERRED TAXES</t>
  </si>
  <si>
    <t>GAS INVENTORY</t>
  </si>
  <si>
    <t>GAIN ON SALE OF BUILDING</t>
  </si>
  <si>
    <t>OTHER</t>
  </si>
  <si>
    <t>TOTAL RATE BASE</t>
  </si>
  <si>
    <t>RATE OF RETURN</t>
  </si>
  <si>
    <t>REVENUE REQUIREMENT</t>
  </si>
  <si>
    <t>Pro Forma Rate of Return</t>
  </si>
  <si>
    <t>Capital Add-Dec '14</t>
  </si>
  <si>
    <t>EOP-Update</t>
  </si>
  <si>
    <t>3.07U</t>
  </si>
  <si>
    <t>Staff Recreated 3.07U</t>
  </si>
  <si>
    <t>Capital Add</t>
  </si>
  <si>
    <t>Dec 2014 EOP-Update</t>
  </si>
  <si>
    <t>3.12U</t>
  </si>
  <si>
    <t>E-CAP14U</t>
  </si>
  <si>
    <t>This worksheet produces supporting documentation for the Company's Adjustment 3.7U in their response to Staff DR 131. Staff then combines Adjustments 3.7 and 3.7U into Staff's Adjustment 3.7.</t>
  </si>
  <si>
    <t>This worksheet produces supporting documentation for the Company's Adjustment 3.12U in their response to Staff DR 131. Staff then combines Adjustments 3.11 and 3.12U into Staff's Adjustment 3.11</t>
  </si>
  <si>
    <t>Staff's 3.11</t>
  </si>
  <si>
    <t>E-CAP14-UTC</t>
  </si>
  <si>
    <t>DR 131 Att. D</t>
  </si>
  <si>
    <t>Planned Dec 2014 Cap Add</t>
  </si>
  <si>
    <t>Actual Dec '14 Cap Balances</t>
  </si>
  <si>
    <t>Inferred 3.12U increment</t>
  </si>
  <si>
    <t>DR 131 Att. B</t>
  </si>
  <si>
    <t>Inferred 3.07U increment</t>
  </si>
  <si>
    <t>Staff's 3.07</t>
  </si>
  <si>
    <t>DR 131 Att. C</t>
  </si>
  <si>
    <t>G-CAP14-UTC</t>
  </si>
  <si>
    <t>Removed; constitutes a future test-year</t>
  </si>
  <si>
    <t>Removed by Staff; not known &amp; meas.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</si>
</sst>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.0_);_(* \(#,##0.0\);_(* &quot;-&quot;??_);_(@_)"/>
    <numFmt numFmtId="167" formatCode="#,##0.00;[Red]\(#,##0.00\)"/>
    <numFmt numFmtId="168" formatCode="_(* #,###_);_(* \(#,##0\);_(* &quot;-&quot;_);_(@_)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10"/>
      <name val="Arial"/>
      <family val="2"/>
    </font>
    <font>
      <b/>
      <sz val="10"/>
      <name val="Tahoma "/>
    </font>
    <font>
      <sz val="10"/>
      <name val="Tahoma "/>
    </font>
    <font>
      <sz val="10"/>
      <color theme="1"/>
      <name val="Tahoma "/>
    </font>
    <font>
      <b/>
      <sz val="10"/>
      <color indexed="8"/>
      <name val="Tahoma "/>
    </font>
    <font>
      <sz val="10"/>
      <color indexed="8"/>
      <name val="Tahoma 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7"/>
      <color rgb="FFFF0000"/>
      <name val="Tahoma "/>
    </font>
    <font>
      <sz val="7"/>
      <name val="Tahoma "/>
    </font>
    <font>
      <b/>
      <sz val="7"/>
      <color rgb="FFFF0000"/>
      <name val="Tahoma"/>
      <family val="2"/>
    </font>
    <font>
      <b/>
      <sz val="8"/>
      <color rgb="FFFF0000"/>
      <name val="Tahoma 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Geneva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2">
    <xf numFmtId="0" fontId="0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17" fillId="0" borderId="0"/>
    <xf numFmtId="0" fontId="3" fillId="0" borderId="0"/>
    <xf numFmtId="0" fontId="17" fillId="0" borderId="0"/>
    <xf numFmtId="0" fontId="17" fillId="0" borderId="0"/>
    <xf numFmtId="0" fontId="3" fillId="0" borderId="0"/>
    <xf numFmtId="167" fontId="18" fillId="2" borderId="0" applyBorder="0">
      <alignment horizontal="right"/>
    </xf>
    <xf numFmtId="0" fontId="19" fillId="3" borderId="0" applyBorder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298">
    <xf numFmtId="0" fontId="0" fillId="0" borderId="0" xfId="0"/>
    <xf numFmtId="0" fontId="0" fillId="0" borderId="0" xfId="0" applyBorder="1"/>
    <xf numFmtId="164" fontId="0" fillId="0" borderId="1" xfId="1" applyNumberFormat="1" applyFont="1" applyBorder="1"/>
    <xf numFmtId="0" fontId="8" fillId="0" borderId="0" xfId="0" applyFont="1" applyFill="1" applyBorder="1" applyAlignment="1">
      <alignment horizontal="center" wrapText="1"/>
    </xf>
    <xf numFmtId="0" fontId="8" fillId="0" borderId="0" xfId="0" applyFont="1" applyBorder="1"/>
    <xf numFmtId="164" fontId="0" fillId="0" borderId="0" xfId="1" applyNumberFormat="1" applyFont="1" applyBorder="1"/>
    <xf numFmtId="0" fontId="8" fillId="0" borderId="0" xfId="0" applyFont="1"/>
    <xf numFmtId="164" fontId="0" fillId="0" borderId="0" xfId="1" applyNumberFormat="1" applyFont="1"/>
    <xf numFmtId="164" fontId="0" fillId="0" borderId="4" xfId="1" applyNumberFormat="1" applyFont="1" applyBorder="1"/>
    <xf numFmtId="0" fontId="8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horizontal="left" indent="2"/>
    </xf>
    <xf numFmtId="164" fontId="0" fillId="0" borderId="0" xfId="0" applyNumberFormat="1"/>
    <xf numFmtId="0" fontId="8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2" xfId="0" applyFont="1" applyFill="1" applyBorder="1" applyAlignment="1">
      <alignment horizontal="center" wrapText="1"/>
    </xf>
    <xf numFmtId="0" fontId="0" fillId="0" borderId="0" xfId="0" applyFill="1" applyBorder="1"/>
    <xf numFmtId="14" fontId="8" fillId="0" borderId="2" xfId="0" applyNumberFormat="1" applyFont="1" applyBorder="1" applyAlignment="1">
      <alignment horizontal="center" wrapText="1"/>
    </xf>
    <xf numFmtId="164" fontId="0" fillId="0" borderId="0" xfId="1" applyNumberFormat="1" applyFont="1" applyFill="1"/>
    <xf numFmtId="164" fontId="0" fillId="0" borderId="4" xfId="1" applyNumberFormat="1" applyFont="1" applyFill="1" applyBorder="1"/>
    <xf numFmtId="0" fontId="0" fillId="0" borderId="0" xfId="0" applyFill="1"/>
    <xf numFmtId="164" fontId="0" fillId="0" borderId="0" xfId="0" applyNumberFormat="1" applyFill="1"/>
    <xf numFmtId="164" fontId="0" fillId="0" borderId="1" xfId="1" applyNumberFormat="1" applyFont="1" applyFill="1" applyBorder="1"/>
    <xf numFmtId="164" fontId="0" fillId="0" borderId="0" xfId="1" applyNumberFormat="1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Border="1"/>
    <xf numFmtId="0" fontId="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4" fontId="0" fillId="0" borderId="9" xfId="1" applyNumberFormat="1" applyFont="1" applyBorder="1"/>
    <xf numFmtId="164" fontId="0" fillId="0" borderId="9" xfId="0" applyNumberFormat="1" applyBorder="1"/>
    <xf numFmtId="0" fontId="8" fillId="0" borderId="0" xfId="0" applyFont="1" applyBorder="1" applyAlignment="1">
      <alignment horizontal="center" wrapText="1"/>
    </xf>
    <xf numFmtId="14" fontId="8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164" fontId="0" fillId="0" borderId="0" xfId="0" applyNumberFormat="1" applyFill="1" applyBorder="1"/>
    <xf numFmtId="0" fontId="8" fillId="0" borderId="0" xfId="0" applyFont="1" applyBorder="1" applyAlignment="1">
      <alignment horizontal="center"/>
    </xf>
    <xf numFmtId="164" fontId="0" fillId="0" borderId="0" xfId="0" applyNumberFormat="1" applyBorder="1"/>
    <xf numFmtId="164" fontId="10" fillId="0" borderId="0" xfId="1" applyNumberFormat="1" applyFont="1" applyFill="1"/>
    <xf numFmtId="164" fontId="10" fillId="0" borderId="0" xfId="1" applyNumberFormat="1" applyFont="1" applyBorder="1"/>
    <xf numFmtId="164" fontId="6" fillId="0" borderId="0" xfId="1" applyNumberFormat="1" applyFont="1" applyFill="1"/>
    <xf numFmtId="164" fontId="10" fillId="0" borderId="0" xfId="1" applyNumberFormat="1" applyFont="1" applyFill="1" applyBorder="1"/>
    <xf numFmtId="164" fontId="10" fillId="0" borderId="0" xfId="1" applyNumberFormat="1" applyFont="1" applyFill="1" applyAlignment="1">
      <alignment horizontal="left" indent="2"/>
    </xf>
    <xf numFmtId="166" fontId="0" fillId="0" borderId="4" xfId="1" applyNumberFormat="1" applyFont="1" applyBorder="1"/>
    <xf numFmtId="164" fontId="0" fillId="0" borderId="9" xfId="1" applyNumberFormat="1" applyFont="1" applyFill="1" applyBorder="1"/>
    <xf numFmtId="0" fontId="12" fillId="0" borderId="0" xfId="8" applyFont="1" applyFill="1" applyBorder="1" applyAlignment="1"/>
    <xf numFmtId="0" fontId="13" fillId="0" borderId="0" xfId="8" applyFont="1" applyFill="1"/>
    <xf numFmtId="10" fontId="14" fillId="0" borderId="0" xfId="9" applyNumberFormat="1" applyFont="1" applyFill="1" applyAlignment="1">
      <alignment horizontal="center"/>
    </xf>
    <xf numFmtId="0" fontId="13" fillId="0" borderId="0" xfId="8" applyFont="1"/>
    <xf numFmtId="0" fontId="13" fillId="0" borderId="0" xfId="8" applyFont="1" applyBorder="1"/>
    <xf numFmtId="0" fontId="13" fillId="0" borderId="0" xfId="8" applyFont="1" applyFill="1" applyBorder="1"/>
    <xf numFmtId="0" fontId="12" fillId="0" borderId="0" xfId="8" applyFont="1" applyFill="1" applyBorder="1"/>
    <xf numFmtId="0" fontId="13" fillId="0" borderId="0" xfId="8" applyFont="1" applyFill="1" applyBorder="1" applyAlignment="1">
      <alignment wrapText="1"/>
    </xf>
    <xf numFmtId="0" fontId="12" fillId="0" borderId="0" xfId="8" applyFont="1" applyFill="1" applyBorder="1" applyAlignment="1">
      <alignment wrapText="1"/>
    </xf>
    <xf numFmtId="10" fontId="14" fillId="0" borderId="0" xfId="9" applyNumberFormat="1" applyFont="1" applyFill="1" applyBorder="1" applyAlignment="1">
      <alignment horizontal="center" wrapText="1"/>
    </xf>
    <xf numFmtId="164" fontId="12" fillId="0" borderId="0" xfId="10" applyNumberFormat="1" applyFont="1" applyBorder="1" applyAlignment="1">
      <alignment wrapText="1"/>
    </xf>
    <xf numFmtId="0" fontId="13" fillId="0" borderId="0" xfId="8" applyFont="1" applyBorder="1" applyAlignment="1">
      <alignment wrapText="1"/>
    </xf>
    <xf numFmtId="0" fontId="13" fillId="0" borderId="3" xfId="8" applyFont="1" applyFill="1" applyBorder="1" applyAlignment="1">
      <alignment horizontal="center" wrapText="1"/>
    </xf>
    <xf numFmtId="0" fontId="13" fillId="0" borderId="0" xfId="8" applyFont="1" applyFill="1" applyBorder="1" applyAlignment="1">
      <alignment horizontal="center" wrapText="1"/>
    </xf>
    <xf numFmtId="10" fontId="14" fillId="0" borderId="0" xfId="9" applyNumberFormat="1" applyFont="1" applyFill="1" applyBorder="1" applyAlignment="1">
      <alignment horizontal="center"/>
    </xf>
    <xf numFmtId="164" fontId="13" fillId="0" borderId="0" xfId="10" applyNumberFormat="1" applyFont="1" applyBorder="1"/>
    <xf numFmtId="165" fontId="13" fillId="0" borderId="0" xfId="8" applyNumberFormat="1" applyFont="1" applyBorder="1"/>
    <xf numFmtId="165" fontId="13" fillId="0" borderId="0" xfId="8" applyNumberFormat="1" applyFont="1" applyFill="1" applyBorder="1"/>
    <xf numFmtId="10" fontId="13" fillId="0" borderId="0" xfId="8" applyNumberFormat="1" applyFont="1" applyBorder="1"/>
    <xf numFmtId="10" fontId="13" fillId="0" borderId="0" xfId="8" applyNumberFormat="1" applyFont="1" applyFill="1" applyBorder="1"/>
    <xf numFmtId="0" fontId="12" fillId="0" borderId="0" xfId="8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 wrapText="1"/>
    </xf>
    <xf numFmtId="10" fontId="15" fillId="0" borderId="0" xfId="9" applyNumberFormat="1" applyFont="1" applyFill="1" applyBorder="1" applyAlignment="1">
      <alignment horizontal="center" wrapText="1"/>
    </xf>
    <xf numFmtId="164" fontId="12" fillId="0" borderId="0" xfId="10" applyNumberFormat="1" applyFont="1" applyFill="1" applyBorder="1" applyAlignment="1">
      <alignment horizontal="center" wrapText="1"/>
    </xf>
    <xf numFmtId="0" fontId="12" fillId="0" borderId="0" xfId="8" applyFont="1" applyFill="1" applyBorder="1" applyAlignment="1">
      <alignment horizontal="center" wrapText="1"/>
    </xf>
    <xf numFmtId="164" fontId="16" fillId="0" borderId="0" xfId="10" applyNumberFormat="1" applyFont="1" applyFill="1" applyBorder="1" applyAlignment="1">
      <alignment wrapText="1"/>
    </xf>
    <xf numFmtId="164" fontId="14" fillId="0" borderId="0" xfId="10" applyNumberFormat="1" applyFont="1" applyBorder="1"/>
    <xf numFmtId="164" fontId="13" fillId="0" borderId="0" xfId="10" applyNumberFormat="1" applyFont="1" applyFill="1" applyBorder="1"/>
    <xf numFmtId="164" fontId="14" fillId="0" borderId="4" xfId="10" applyNumberFormat="1" applyFont="1" applyFill="1" applyBorder="1"/>
    <xf numFmtId="164" fontId="14" fillId="0" borderId="4" xfId="10" applyNumberFormat="1" applyFont="1" applyBorder="1"/>
    <xf numFmtId="164" fontId="14" fillId="0" borderId="0" xfId="10" applyNumberFormat="1" applyFont="1" applyFill="1" applyBorder="1"/>
    <xf numFmtId="164" fontId="14" fillId="0" borderId="0" xfId="10" applyNumberFormat="1" applyFont="1" applyFill="1"/>
    <xf numFmtId="164" fontId="14" fillId="0" borderId="0" xfId="10" applyNumberFormat="1" applyFont="1"/>
    <xf numFmtId="164" fontId="16" fillId="0" borderId="3" xfId="10" applyNumberFormat="1" applyFont="1" applyFill="1" applyBorder="1" applyAlignment="1">
      <alignment wrapText="1"/>
    </xf>
    <xf numFmtId="164" fontId="14" fillId="0" borderId="3" xfId="10" applyNumberFormat="1" applyFont="1" applyBorder="1"/>
    <xf numFmtId="164" fontId="13" fillId="0" borderId="3" xfId="10" applyNumberFormat="1" applyFont="1" applyFill="1" applyBorder="1"/>
    <xf numFmtId="164" fontId="13" fillId="0" borderId="3" xfId="10" applyNumberFormat="1" applyFont="1" applyBorder="1"/>
    <xf numFmtId="164" fontId="14" fillId="0" borderId="9" xfId="10" applyNumberFormat="1" applyFont="1" applyFill="1" applyBorder="1"/>
    <xf numFmtId="0" fontId="12" fillId="0" borderId="0" xfId="8" applyFont="1" applyFill="1"/>
    <xf numFmtId="164" fontId="12" fillId="0" borderId="2" xfId="10" applyNumberFormat="1" applyFont="1" applyFill="1" applyBorder="1"/>
    <xf numFmtId="164" fontId="12" fillId="0" borderId="0" xfId="10" applyNumberFormat="1" applyFont="1" applyBorder="1"/>
    <xf numFmtId="164" fontId="12" fillId="0" borderId="0" xfId="10" applyNumberFormat="1" applyFont="1" applyFill="1" applyBorder="1"/>
    <xf numFmtId="0" fontId="12" fillId="0" borderId="0" xfId="8" applyFont="1"/>
    <xf numFmtId="164" fontId="12" fillId="0" borderId="0" xfId="10" applyNumberFormat="1" applyFont="1" applyFill="1"/>
    <xf numFmtId="10" fontId="12" fillId="0" borderId="0" xfId="9" applyNumberFormat="1" applyFont="1" applyFill="1" applyAlignment="1">
      <alignment horizontal="center"/>
    </xf>
    <xf numFmtId="164" fontId="12" fillId="0" borderId="0" xfId="10" applyNumberFormat="1" applyFont="1"/>
    <xf numFmtId="164" fontId="14" fillId="0" borderId="9" xfId="10" applyNumberFormat="1" applyFont="1" applyBorder="1"/>
    <xf numFmtId="164" fontId="12" fillId="0" borderId="2" xfId="10" applyNumberFormat="1" applyFont="1" applyBorder="1"/>
    <xf numFmtId="164" fontId="13" fillId="0" borderId="0" xfId="8" applyNumberFormat="1" applyFont="1" applyFill="1"/>
    <xf numFmtId="164" fontId="0" fillId="0" borderId="3" xfId="1" applyNumberFormat="1" applyFont="1" applyFill="1" applyBorder="1"/>
    <xf numFmtId="164" fontId="0" fillId="0" borderId="3" xfId="1" applyNumberFormat="1" applyFont="1" applyBorder="1"/>
    <xf numFmtId="164" fontId="16" fillId="0" borderId="4" xfId="10" applyNumberFormat="1" applyFont="1" applyFill="1" applyBorder="1" applyAlignment="1">
      <alignment wrapText="1"/>
    </xf>
    <xf numFmtId="0" fontId="8" fillId="0" borderId="0" xfId="0" applyFont="1" applyFill="1" applyAlignment="1">
      <alignment horizontal="center" wrapText="1"/>
    </xf>
    <xf numFmtId="9" fontId="0" fillId="0" borderId="0" xfId="3" applyFont="1" applyFill="1" applyBorder="1"/>
    <xf numFmtId="0" fontId="8" fillId="0" borderId="0" xfId="0" applyFont="1" applyAlignment="1">
      <alignment horizontal="center" wrapText="1"/>
    </xf>
    <xf numFmtId="10" fontId="14" fillId="0" borderId="0" xfId="9" applyNumberFormat="1" applyFont="1" applyFill="1" applyAlignment="1">
      <alignment horizontal="left"/>
    </xf>
    <xf numFmtId="0" fontId="13" fillId="0" borderId="0" xfId="8" applyFont="1" applyAlignment="1">
      <alignment horizontal="left"/>
    </xf>
    <xf numFmtId="0" fontId="8" fillId="0" borderId="0" xfId="0" applyFont="1" applyFill="1" applyBorder="1"/>
    <xf numFmtId="0" fontId="21" fillId="0" borderId="0" xfId="0" applyFont="1"/>
    <xf numFmtId="0" fontId="22" fillId="0" borderId="0" xfId="0" applyFont="1" applyFill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 wrapText="1"/>
    </xf>
    <xf numFmtId="0" fontId="23" fillId="0" borderId="0" xfId="0" applyFont="1" applyBorder="1"/>
    <xf numFmtId="0" fontId="22" fillId="0" borderId="0" xfId="0" applyFont="1" applyFill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/>
    <xf numFmtId="0" fontId="8" fillId="0" borderId="0" xfId="0" applyFont="1" applyFill="1"/>
    <xf numFmtId="0" fontId="8" fillId="5" borderId="0" xfId="0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0" fontId="8" fillId="5" borderId="2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 wrapText="1"/>
    </xf>
    <xf numFmtId="164" fontId="0" fillId="5" borderId="0" xfId="1" applyNumberFormat="1" applyFont="1" applyFill="1"/>
    <xf numFmtId="164" fontId="0" fillId="5" borderId="4" xfId="1" applyNumberFormat="1" applyFont="1" applyFill="1" applyBorder="1"/>
    <xf numFmtId="164" fontId="0" fillId="5" borderId="3" xfId="1" applyNumberFormat="1" applyFont="1" applyFill="1" applyBorder="1"/>
    <xf numFmtId="164" fontId="0" fillId="5" borderId="0" xfId="0" applyNumberFormat="1" applyFill="1"/>
    <xf numFmtId="164" fontId="0" fillId="5" borderId="1" xfId="1" applyNumberFormat="1" applyFont="1" applyFill="1" applyBorder="1"/>
    <xf numFmtId="0" fontId="0" fillId="5" borderId="0" xfId="0" applyFill="1"/>
    <xf numFmtId="164" fontId="0" fillId="5" borderId="0" xfId="1" applyNumberFormat="1" applyFont="1" applyFill="1" applyBorder="1"/>
    <xf numFmtId="2" fontId="22" fillId="5" borderId="0" xfId="0" applyNumberFormat="1" applyFont="1" applyFill="1" applyAlignment="1">
      <alignment horizontal="center"/>
    </xf>
    <xf numFmtId="0" fontId="24" fillId="0" borderId="0" xfId="0" applyFont="1"/>
    <xf numFmtId="0" fontId="24" fillId="0" borderId="0" xfId="0" applyFont="1" applyFill="1"/>
    <xf numFmtId="164" fontId="25" fillId="0" borderId="0" xfId="1" applyNumberFormat="1" applyFont="1" applyFill="1" applyBorder="1"/>
    <xf numFmtId="164" fontId="24" fillId="0" borderId="0" xfId="1" applyNumberFormat="1" applyFont="1" applyFill="1" applyBorder="1"/>
    <xf numFmtId="164" fontId="0" fillId="5" borderId="9" xfId="1" applyNumberFormat="1" applyFont="1" applyFill="1" applyBorder="1"/>
    <xf numFmtId="164" fontId="26" fillId="0" borderId="9" xfId="1" applyNumberFormat="1" applyFont="1" applyFill="1" applyBorder="1"/>
    <xf numFmtId="164" fontId="25" fillId="0" borderId="9" xfId="1" applyNumberFormat="1" applyFont="1" applyFill="1" applyBorder="1"/>
    <xf numFmtId="0" fontId="8" fillId="4" borderId="5" xfId="0" applyFont="1" applyFill="1" applyBorder="1" applyAlignment="1">
      <alignment horizontal="center"/>
    </xf>
    <xf numFmtId="0" fontId="24" fillId="0" borderId="0" xfId="0" applyFont="1" applyFill="1" applyAlignment="1">
      <alignment wrapText="1"/>
    </xf>
    <xf numFmtId="164" fontId="24" fillId="0" borderId="0" xfId="1" applyNumberFormat="1" applyFont="1" applyFill="1" applyBorder="1" applyAlignment="1">
      <alignment horizontal="right"/>
    </xf>
    <xf numFmtId="0" fontId="24" fillId="0" borderId="4" xfId="0" applyFont="1" applyFill="1" applyBorder="1"/>
    <xf numFmtId="168" fontId="9" fillId="0" borderId="0" xfId="1" applyNumberFormat="1" applyFont="1" applyFill="1" applyBorder="1"/>
    <xf numFmtId="168" fontId="0" fillId="0" borderId="0" xfId="1" applyNumberFormat="1" applyFont="1"/>
    <xf numFmtId="168" fontId="0" fillId="0" borderId="0" xfId="1" applyNumberFormat="1" applyFont="1" applyFill="1"/>
    <xf numFmtId="168" fontId="0" fillId="0" borderId="0" xfId="1" applyNumberFormat="1" applyFont="1" applyFill="1" applyBorder="1"/>
    <xf numFmtId="168" fontId="0" fillId="0" borderId="4" xfId="1" applyNumberFormat="1" applyFont="1" applyFill="1" applyBorder="1"/>
    <xf numFmtId="168" fontId="0" fillId="0" borderId="1" xfId="1" applyNumberFormat="1" applyFont="1" applyFill="1" applyBorder="1"/>
    <xf numFmtId="168" fontId="9" fillId="0" borderId="0" xfId="1" applyNumberFormat="1" applyFont="1" applyFill="1"/>
    <xf numFmtId="164" fontId="13" fillId="0" borderId="0" xfId="8" applyNumberFormat="1" applyFont="1" applyFill="1" applyBorder="1"/>
    <xf numFmtId="164" fontId="27" fillId="0" borderId="12" xfId="10" applyNumberFormat="1" applyFont="1" applyFill="1" applyBorder="1" applyAlignment="1"/>
    <xf numFmtId="0" fontId="12" fillId="0" borderId="0" xfId="8" applyFont="1" applyBorder="1"/>
    <xf numFmtId="0" fontId="27" fillId="0" borderId="0" xfId="8" applyFont="1" applyFill="1" applyAlignment="1">
      <alignment horizontal="right"/>
    </xf>
    <xf numFmtId="164" fontId="27" fillId="0" borderId="0" xfId="10" applyNumberFormat="1" applyFont="1" applyFill="1" applyBorder="1" applyAlignment="1"/>
    <xf numFmtId="164" fontId="0" fillId="0" borderId="4" xfId="0" applyNumberFormat="1" applyBorder="1"/>
    <xf numFmtId="43" fontId="13" fillId="0" borderId="0" xfId="8" applyNumberFormat="1" applyFont="1"/>
    <xf numFmtId="43" fontId="13" fillId="0" borderId="3" xfId="8" applyNumberFormat="1" applyFont="1" applyBorder="1"/>
    <xf numFmtId="0" fontId="13" fillId="0" borderId="3" xfId="8" applyFont="1" applyBorder="1"/>
    <xf numFmtId="2" fontId="22" fillId="0" borderId="0" xfId="0" applyNumberFormat="1" applyFont="1" applyFill="1" applyAlignment="1">
      <alignment horizontal="center"/>
    </xf>
    <xf numFmtId="164" fontId="10" fillId="0" borderId="0" xfId="0" applyNumberFormat="1" applyFont="1" applyFill="1"/>
    <xf numFmtId="0" fontId="8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 wrapText="1"/>
    </xf>
    <xf numFmtId="0" fontId="22" fillId="6" borderId="0" xfId="0" applyFont="1" applyFill="1" applyAlignment="1">
      <alignment horizontal="center"/>
    </xf>
    <xf numFmtId="0" fontId="22" fillId="6" borderId="0" xfId="0" applyFont="1" applyFill="1" applyAlignment="1">
      <alignment horizontal="center" wrapText="1"/>
    </xf>
    <xf numFmtId="41" fontId="31" fillId="0" borderId="0" xfId="28" applyNumberFormat="1" applyFont="1" applyFill="1" applyBorder="1" applyAlignment="1">
      <alignment horizontal="center"/>
    </xf>
    <xf numFmtId="41" fontId="31" fillId="0" borderId="13" xfId="29" applyNumberFormat="1" applyFont="1" applyFill="1" applyBorder="1" applyAlignment="1">
      <alignment horizontal="center"/>
    </xf>
    <xf numFmtId="41" fontId="32" fillId="0" borderId="0" xfId="28" applyNumberFormat="1" applyFont="1" applyFill="1"/>
    <xf numFmtId="41" fontId="31" fillId="0" borderId="0" xfId="28" applyNumberFormat="1" applyFont="1" applyFill="1" applyBorder="1"/>
    <xf numFmtId="41" fontId="31" fillId="0" borderId="14" xfId="28" applyNumberFormat="1" applyFont="1" applyFill="1" applyBorder="1" applyAlignment="1">
      <alignment horizontal="center"/>
    </xf>
    <xf numFmtId="41" fontId="31" fillId="0" borderId="15" xfId="28" applyNumberFormat="1" applyFont="1" applyFill="1" applyBorder="1" applyAlignment="1">
      <alignment horizontal="center"/>
    </xf>
    <xf numFmtId="2" fontId="31" fillId="0" borderId="14" xfId="28" applyNumberFormat="1" applyFont="1" applyFill="1" applyBorder="1" applyAlignment="1">
      <alignment horizontal="center"/>
    </xf>
    <xf numFmtId="0" fontId="32" fillId="0" borderId="0" xfId="28" applyNumberFormat="1" applyFont="1" applyAlignment="1">
      <alignment horizontal="center"/>
    </xf>
    <xf numFmtId="0" fontId="32" fillId="0" borderId="0" xfId="28" applyFont="1"/>
    <xf numFmtId="0" fontId="32" fillId="0" borderId="0" xfId="28" applyNumberFormat="1" applyFont="1" applyAlignment="1">
      <alignment horizontal="left"/>
    </xf>
    <xf numFmtId="0" fontId="31" fillId="0" borderId="0" xfId="28" applyFont="1" applyAlignment="1">
      <alignment horizontal="center"/>
    </xf>
    <xf numFmtId="0" fontId="31" fillId="0" borderId="0" xfId="28" applyNumberFormat="1" applyFont="1" applyAlignment="1">
      <alignment horizontal="center"/>
    </xf>
    <xf numFmtId="0" fontId="31" fillId="0" borderId="13" xfId="28" applyNumberFormat="1" applyFont="1" applyBorder="1" applyAlignment="1">
      <alignment horizontal="center"/>
    </xf>
    <xf numFmtId="0" fontId="31" fillId="0" borderId="16" xfId="28" applyFont="1" applyBorder="1" applyAlignment="1">
      <alignment horizontal="center"/>
    </xf>
    <xf numFmtId="0" fontId="31" fillId="0" borderId="9" xfId="28" applyFont="1" applyBorder="1" applyAlignment="1">
      <alignment horizontal="center"/>
    </xf>
    <xf numFmtId="0" fontId="31" fillId="0" borderId="14" xfId="28" applyNumberFormat="1" applyFont="1" applyBorder="1" applyAlignment="1">
      <alignment horizontal="center"/>
    </xf>
    <xf numFmtId="0" fontId="31" fillId="0" borderId="17" xfId="28" applyFont="1" applyBorder="1" applyAlignment="1">
      <alignment horizontal="center"/>
    </xf>
    <xf numFmtId="0" fontId="31" fillId="0" borderId="0" xfId="28" applyFont="1" applyBorder="1" applyAlignment="1">
      <alignment horizontal="center"/>
    </xf>
    <xf numFmtId="0" fontId="31" fillId="0" borderId="15" xfId="28" applyNumberFormat="1" applyFont="1" applyBorder="1" applyAlignment="1">
      <alignment horizontal="center"/>
    </xf>
    <xf numFmtId="0" fontId="31" fillId="0" borderId="18" xfId="28" applyFont="1" applyBorder="1" applyAlignment="1">
      <alignment horizontal="center"/>
    </xf>
    <xf numFmtId="0" fontId="31" fillId="0" borderId="3" xfId="28" applyFont="1" applyBorder="1" applyAlignment="1">
      <alignment horizontal="center"/>
    </xf>
    <xf numFmtId="2" fontId="31" fillId="0" borderId="0" xfId="28" applyNumberFormat="1" applyFont="1" applyAlignment="1">
      <alignment horizontal="center"/>
    </xf>
    <xf numFmtId="2" fontId="32" fillId="0" borderId="0" xfId="28" applyNumberFormat="1" applyFont="1" applyAlignment="1">
      <alignment horizontal="left"/>
    </xf>
    <xf numFmtId="37" fontId="32" fillId="0" borderId="0" xfId="28" applyNumberFormat="1" applyFont="1" applyAlignment="1">
      <alignment horizontal="center"/>
    </xf>
    <xf numFmtId="5" fontId="32" fillId="0" borderId="0" xfId="28" applyNumberFormat="1" applyFont="1"/>
    <xf numFmtId="37" fontId="32" fillId="0" borderId="0" xfId="28" applyNumberFormat="1" applyFont="1"/>
    <xf numFmtId="37" fontId="32" fillId="0" borderId="0" xfId="28" applyNumberFormat="1" applyFont="1" applyFill="1"/>
    <xf numFmtId="37" fontId="32" fillId="0" borderId="0" xfId="28" applyNumberFormat="1" applyFont="1" applyFill="1" applyAlignment="1">
      <alignment horizontal="center"/>
    </xf>
    <xf numFmtId="1" fontId="32" fillId="0" borderId="0" xfId="30" applyNumberFormat="1" applyFont="1" applyAlignment="1">
      <alignment horizontal="center"/>
    </xf>
    <xf numFmtId="9" fontId="32" fillId="0" borderId="0" xfId="3" applyFont="1"/>
    <xf numFmtId="3" fontId="32" fillId="0" borderId="0" xfId="30" applyNumberFormat="1" applyFont="1" applyAlignment="1">
      <alignment horizontal="center"/>
    </xf>
    <xf numFmtId="3" fontId="32" fillId="0" borderId="0" xfId="30" applyNumberFormat="1" applyFont="1" applyFill="1" applyAlignment="1">
      <alignment horizontal="center"/>
    </xf>
    <xf numFmtId="41" fontId="31" fillId="5" borderId="13" xfId="29" applyNumberFormat="1" applyFont="1" applyFill="1" applyBorder="1" applyAlignment="1">
      <alignment horizontal="center"/>
    </xf>
    <xf numFmtId="0" fontId="32" fillId="0" borderId="0" xfId="28" applyFont="1" applyFill="1"/>
    <xf numFmtId="0" fontId="32" fillId="0" borderId="0" xfId="31" applyNumberFormat="1" applyFont="1" applyAlignment="1">
      <alignment horizontal="center"/>
    </xf>
    <xf numFmtId="0" fontId="32" fillId="0" borderId="0" xfId="31" applyFont="1"/>
    <xf numFmtId="0" fontId="32" fillId="0" borderId="0" xfId="31" applyNumberFormat="1" applyFont="1" applyAlignment="1">
      <alignment horizontal="left"/>
    </xf>
    <xf numFmtId="3" fontId="32" fillId="0" borderId="0" xfId="31" applyNumberFormat="1" applyFont="1" applyFill="1"/>
    <xf numFmtId="0" fontId="31" fillId="0" borderId="0" xfId="31" applyNumberFormat="1" applyFont="1" applyAlignment="1">
      <alignment horizontal="center"/>
    </xf>
    <xf numFmtId="0" fontId="31" fillId="0" borderId="0" xfId="31" applyFont="1" applyAlignment="1">
      <alignment horizontal="center"/>
    </xf>
    <xf numFmtId="0" fontId="31" fillId="0" borderId="13" xfId="31" applyNumberFormat="1" applyFont="1" applyBorder="1" applyAlignment="1">
      <alignment horizontal="center"/>
    </xf>
    <xf numFmtId="0" fontId="31" fillId="0" borderId="16" xfId="31" applyFont="1" applyBorder="1" applyAlignment="1">
      <alignment horizontal="center"/>
    </xf>
    <xf numFmtId="0" fontId="31" fillId="0" borderId="9" xfId="31" applyFont="1" applyBorder="1" applyAlignment="1">
      <alignment horizontal="center"/>
    </xf>
    <xf numFmtId="0" fontId="32" fillId="0" borderId="20" xfId="31" applyFont="1" applyBorder="1"/>
    <xf numFmtId="0" fontId="31" fillId="0" borderId="14" xfId="31" applyNumberFormat="1" applyFont="1" applyBorder="1" applyAlignment="1">
      <alignment horizontal="center"/>
    </xf>
    <xf numFmtId="0" fontId="31" fillId="0" borderId="17" xfId="31" applyFont="1" applyBorder="1" applyAlignment="1">
      <alignment horizontal="center"/>
    </xf>
    <xf numFmtId="0" fontId="31" fillId="0" borderId="0" xfId="31" applyFont="1" applyBorder="1" applyAlignment="1">
      <alignment horizontal="center"/>
    </xf>
    <xf numFmtId="0" fontId="32" fillId="0" borderId="21" xfId="31" applyFont="1" applyBorder="1"/>
    <xf numFmtId="0" fontId="31" fillId="0" borderId="15" xfId="31" applyNumberFormat="1" applyFont="1" applyBorder="1" applyAlignment="1">
      <alignment horizontal="center"/>
    </xf>
    <xf numFmtId="0" fontId="31" fillId="0" borderId="18" xfId="31" applyFont="1" applyBorder="1" applyAlignment="1">
      <alignment horizontal="center"/>
    </xf>
    <xf numFmtId="0" fontId="31" fillId="0" borderId="3" xfId="31" applyFont="1" applyBorder="1" applyAlignment="1">
      <alignment horizontal="center"/>
    </xf>
    <xf numFmtId="0" fontId="31" fillId="0" borderId="22" xfId="31" applyFont="1" applyBorder="1" applyAlignment="1">
      <alignment horizontal="center"/>
    </xf>
    <xf numFmtId="0" fontId="32" fillId="0" borderId="0" xfId="31" applyFont="1" applyAlignment="1">
      <alignment horizontal="left"/>
    </xf>
    <xf numFmtId="5" fontId="32" fillId="0" borderId="0" xfId="31" applyNumberFormat="1" applyFont="1"/>
    <xf numFmtId="37" fontId="32" fillId="0" borderId="0" xfId="31" applyNumberFormat="1" applyFont="1"/>
    <xf numFmtId="0" fontId="32" fillId="0" borderId="0" xfId="0" applyFont="1"/>
    <xf numFmtId="0" fontId="32" fillId="0" borderId="0" xfId="31" applyNumberFormat="1" applyFont="1" applyBorder="1" applyAlignment="1">
      <alignment horizontal="center"/>
    </xf>
    <xf numFmtId="37" fontId="32" fillId="0" borderId="0" xfId="31" applyNumberFormat="1" applyFont="1" applyBorder="1"/>
    <xf numFmtId="5" fontId="31" fillId="0" borderId="0" xfId="31" applyNumberFormat="1" applyFont="1"/>
    <xf numFmtId="0" fontId="32" fillId="0" borderId="0" xfId="31" applyNumberFormat="1" applyFont="1" applyFill="1" applyAlignment="1">
      <alignment horizontal="left"/>
    </xf>
    <xf numFmtId="0" fontId="32" fillId="0" borderId="0" xfId="31" applyFont="1" applyFill="1"/>
    <xf numFmtId="0" fontId="32" fillId="0" borderId="0" xfId="31" applyNumberFormat="1" applyFont="1" applyFill="1" applyAlignment="1">
      <alignment horizontal="center"/>
    </xf>
    <xf numFmtId="0" fontId="32" fillId="0" borderId="0" xfId="28" applyFont="1" applyFill="1" applyAlignment="1">
      <alignment horizontal="right"/>
    </xf>
    <xf numFmtId="0" fontId="34" fillId="0" borderId="0" xfId="0" applyFont="1"/>
    <xf numFmtId="3" fontId="31" fillId="5" borderId="13" xfId="31" applyNumberFormat="1" applyFont="1" applyFill="1" applyBorder="1" applyAlignment="1">
      <alignment horizontal="center"/>
    </xf>
    <xf numFmtId="3" fontId="31" fillId="5" borderId="14" xfId="31" applyNumberFormat="1" applyFont="1" applyFill="1" applyBorder="1" applyAlignment="1">
      <alignment horizontal="center"/>
    </xf>
    <xf numFmtId="3" fontId="31" fillId="5" borderId="15" xfId="31" applyNumberFormat="1" applyFont="1" applyFill="1" applyBorder="1" applyAlignment="1">
      <alignment horizontal="center"/>
    </xf>
    <xf numFmtId="4" fontId="31" fillId="0" borderId="0" xfId="31" applyNumberFormat="1" applyFont="1" applyFill="1" applyBorder="1" applyAlignment="1">
      <alignment horizontal="center"/>
    </xf>
    <xf numFmtId="3" fontId="31" fillId="0" borderId="0" xfId="31" applyNumberFormat="1" applyFont="1" applyFill="1" applyBorder="1" applyAlignment="1">
      <alignment horizontal="center"/>
    </xf>
    <xf numFmtId="3" fontId="32" fillId="0" borderId="0" xfId="31" applyNumberFormat="1" applyFont="1" applyFill="1" applyBorder="1"/>
    <xf numFmtId="42" fontId="32" fillId="0" borderId="0" xfId="29" applyNumberFormat="1" applyFont="1" applyFill="1" applyBorder="1"/>
    <xf numFmtId="41" fontId="32" fillId="0" borderId="0" xfId="29" applyNumberFormat="1" applyFont="1" applyFill="1" applyBorder="1"/>
    <xf numFmtId="41" fontId="32" fillId="0" borderId="3" xfId="29" applyNumberFormat="1" applyFont="1" applyFill="1" applyBorder="1"/>
    <xf numFmtId="41" fontId="32" fillId="0" borderId="0" xfId="31" applyNumberFormat="1" applyFont="1" applyFill="1" applyBorder="1"/>
    <xf numFmtId="41" fontId="32" fillId="0" borderId="3" xfId="31" applyNumberFormat="1" applyFont="1" applyFill="1" applyBorder="1"/>
    <xf numFmtId="42" fontId="32" fillId="0" borderId="19" xfId="31" applyNumberFormat="1" applyFont="1" applyFill="1" applyBorder="1"/>
    <xf numFmtId="164" fontId="32" fillId="0" borderId="0" xfId="1" applyNumberFormat="1" applyFont="1" applyFill="1" applyBorder="1"/>
    <xf numFmtId="41" fontId="32" fillId="0" borderId="4" xfId="31" applyNumberFormat="1" applyFont="1" applyFill="1" applyBorder="1"/>
    <xf numFmtId="41" fontId="32" fillId="0" borderId="0" xfId="31" applyNumberFormat="1" applyFont="1" applyBorder="1"/>
    <xf numFmtId="42" fontId="31" fillId="0" borderId="19" xfId="31" applyNumberFormat="1" applyFont="1" applyBorder="1"/>
    <xf numFmtId="41" fontId="31" fillId="5" borderId="14" xfId="28" applyNumberFormat="1" applyFont="1" applyFill="1" applyBorder="1" applyAlignment="1">
      <alignment horizontal="center"/>
    </xf>
    <xf numFmtId="41" fontId="31" fillId="5" borderId="15" xfId="28" applyNumberFormat="1" applyFont="1" applyFill="1" applyBorder="1" applyAlignment="1">
      <alignment horizontal="center"/>
    </xf>
    <xf numFmtId="5" fontId="32" fillId="0" borderId="0" xfId="28" applyNumberFormat="1" applyFont="1" applyFill="1"/>
    <xf numFmtId="41" fontId="31" fillId="0" borderId="16" xfId="29" applyNumberFormat="1" applyFont="1" applyFill="1" applyBorder="1" applyAlignment="1">
      <alignment horizontal="center"/>
    </xf>
    <xf numFmtId="41" fontId="31" fillId="0" borderId="20" xfId="29" applyNumberFormat="1" applyFont="1" applyFill="1" applyBorder="1" applyAlignment="1">
      <alignment horizontal="center"/>
    </xf>
    <xf numFmtId="2" fontId="31" fillId="0" borderId="21" xfId="28" applyNumberFormat="1" applyFont="1" applyFill="1" applyBorder="1" applyAlignment="1">
      <alignment horizontal="center"/>
    </xf>
    <xf numFmtId="41" fontId="31" fillId="0" borderId="21" xfId="28" applyNumberFormat="1" applyFont="1" applyFill="1" applyBorder="1"/>
    <xf numFmtId="41" fontId="32" fillId="0" borderId="9" xfId="28" applyNumberFormat="1" applyFont="1" applyFill="1" applyBorder="1"/>
    <xf numFmtId="41" fontId="32" fillId="0" borderId="0" xfId="28" applyNumberFormat="1" applyFont="1" applyFill="1" applyBorder="1"/>
    <xf numFmtId="41" fontId="32" fillId="0" borderId="3" xfId="28" applyNumberFormat="1" applyFont="1" applyFill="1" applyBorder="1"/>
    <xf numFmtId="41" fontId="0" fillId="5" borderId="0" xfId="1" applyNumberFormat="1" applyFont="1" applyFill="1"/>
    <xf numFmtId="41" fontId="0" fillId="5" borderId="4" xfId="1" applyNumberFormat="1" applyFont="1" applyFill="1" applyBorder="1"/>
    <xf numFmtId="41" fontId="0" fillId="5" borderId="0" xfId="1" applyNumberFormat="1" applyFont="1" applyFill="1" applyBorder="1"/>
    <xf numFmtId="41" fontId="0" fillId="5" borderId="0" xfId="0" applyNumberFormat="1" applyFill="1"/>
    <xf numFmtId="0" fontId="0" fillId="6" borderId="0" xfId="0" applyFill="1"/>
    <xf numFmtId="164" fontId="8" fillId="6" borderId="0" xfId="1" applyNumberFormat="1" applyFont="1" applyFill="1"/>
    <xf numFmtId="0" fontId="6" fillId="0" borderId="0" xfId="0" applyFont="1" applyAlignment="1">
      <alignment wrapText="1"/>
    </xf>
    <xf numFmtId="0" fontId="8" fillId="4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1" fillId="6" borderId="16" xfId="0" applyFont="1" applyFill="1" applyBorder="1" applyAlignment="1">
      <alignment horizontal="center" wrapText="1"/>
    </xf>
    <xf numFmtId="0" fontId="31" fillId="6" borderId="9" xfId="0" applyFont="1" applyFill="1" applyBorder="1" applyAlignment="1">
      <alignment horizontal="center" wrapText="1"/>
    </xf>
    <xf numFmtId="0" fontId="31" fillId="6" borderId="20" xfId="0" applyFont="1" applyFill="1" applyBorder="1" applyAlignment="1">
      <alignment horizontal="center" wrapText="1"/>
    </xf>
    <xf numFmtId="0" fontId="31" fillId="6" borderId="18" xfId="0" applyFont="1" applyFill="1" applyBorder="1" applyAlignment="1">
      <alignment horizontal="center" wrapText="1"/>
    </xf>
    <xf numFmtId="0" fontId="31" fillId="6" borderId="3" xfId="0" applyFont="1" applyFill="1" applyBorder="1" applyAlignment="1">
      <alignment horizontal="center" wrapText="1"/>
    </xf>
    <xf numFmtId="0" fontId="31" fillId="6" borderId="22" xfId="0" applyFont="1" applyFill="1" applyBorder="1" applyAlignment="1">
      <alignment horizontal="center" wrapText="1"/>
    </xf>
    <xf numFmtId="0" fontId="33" fillId="4" borderId="23" xfId="0" applyFont="1" applyFill="1" applyBorder="1" applyAlignment="1">
      <alignment horizontal="center"/>
    </xf>
    <xf numFmtId="0" fontId="33" fillId="4" borderId="2" xfId="0" applyFont="1" applyFill="1" applyBorder="1" applyAlignment="1">
      <alignment horizontal="center"/>
    </xf>
    <xf numFmtId="0" fontId="33" fillId="4" borderId="24" xfId="0" applyFont="1" applyFill="1" applyBorder="1" applyAlignment="1">
      <alignment horizontal="center"/>
    </xf>
    <xf numFmtId="0" fontId="12" fillId="0" borderId="10" xfId="8" applyFont="1" applyBorder="1" applyAlignment="1">
      <alignment horizontal="center"/>
    </xf>
    <xf numFmtId="0" fontId="12" fillId="0" borderId="11" xfId="8" applyFont="1" applyBorder="1" applyAlignment="1">
      <alignment horizontal="center"/>
    </xf>
    <xf numFmtId="0" fontId="12" fillId="0" borderId="10" xfId="8" applyFont="1" applyFill="1" applyBorder="1" applyAlignment="1">
      <alignment horizontal="center"/>
    </xf>
    <xf numFmtId="0" fontId="12" fillId="0" borderId="4" xfId="8" applyFont="1" applyFill="1" applyBorder="1" applyAlignment="1">
      <alignment horizontal="center"/>
    </xf>
    <xf numFmtId="0" fontId="12" fillId="0" borderId="11" xfId="8" applyFont="1" applyFill="1" applyBorder="1" applyAlignment="1">
      <alignment horizontal="center"/>
    </xf>
    <xf numFmtId="0" fontId="12" fillId="0" borderId="4" xfId="8" applyFont="1" applyBorder="1" applyAlignment="1">
      <alignment horizontal="center"/>
    </xf>
    <xf numFmtId="164" fontId="27" fillId="0" borderId="12" xfId="10" applyNumberFormat="1" applyFont="1" applyFill="1" applyBorder="1" applyAlignment="1">
      <alignment horizontal="right"/>
    </xf>
    <xf numFmtId="41" fontId="31" fillId="6" borderId="16" xfId="28" applyNumberFormat="1" applyFont="1" applyFill="1" applyBorder="1" applyAlignment="1">
      <alignment horizontal="center" wrapText="1"/>
    </xf>
    <xf numFmtId="41" fontId="31" fillId="6" borderId="9" xfId="28" applyNumberFormat="1" applyFont="1" applyFill="1" applyBorder="1" applyAlignment="1">
      <alignment horizontal="center" wrapText="1"/>
    </xf>
    <xf numFmtId="41" fontId="31" fillId="6" borderId="20" xfId="28" applyNumberFormat="1" applyFont="1" applyFill="1" applyBorder="1" applyAlignment="1">
      <alignment horizontal="center" wrapText="1"/>
    </xf>
    <xf numFmtId="41" fontId="31" fillId="6" borderId="17" xfId="28" applyNumberFormat="1" applyFont="1" applyFill="1" applyBorder="1" applyAlignment="1">
      <alignment horizontal="center" wrapText="1"/>
    </xf>
    <xf numFmtId="41" fontId="31" fillId="6" borderId="0" xfId="28" applyNumberFormat="1" applyFont="1" applyFill="1" applyBorder="1" applyAlignment="1">
      <alignment horizontal="center" wrapText="1"/>
    </xf>
    <xf numFmtId="41" fontId="31" fillId="6" borderId="21" xfId="28" applyNumberFormat="1" applyFont="1" applyFill="1" applyBorder="1" applyAlignment="1">
      <alignment horizontal="center" wrapText="1"/>
    </xf>
    <xf numFmtId="41" fontId="31" fillId="6" borderId="18" xfId="28" applyNumberFormat="1" applyFont="1" applyFill="1" applyBorder="1" applyAlignment="1">
      <alignment horizontal="center" wrapText="1"/>
    </xf>
    <xf numFmtId="41" fontId="31" fillId="6" borderId="3" xfId="28" applyNumberFormat="1" applyFont="1" applyFill="1" applyBorder="1" applyAlignment="1">
      <alignment horizontal="center" wrapText="1"/>
    </xf>
    <xf numFmtId="41" fontId="31" fillId="6" borderId="22" xfId="28" applyNumberFormat="1" applyFont="1" applyFill="1" applyBorder="1" applyAlignment="1">
      <alignment horizontal="center" wrapText="1"/>
    </xf>
    <xf numFmtId="41" fontId="31" fillId="5" borderId="13" xfId="28" applyNumberFormat="1" applyFont="1" applyFill="1" applyBorder="1" applyAlignment="1">
      <alignment horizontal="center" wrapText="1"/>
    </xf>
    <xf numFmtId="41" fontId="31" fillId="5" borderId="15" xfId="28" applyNumberFormat="1" applyFont="1" applyFill="1" applyBorder="1" applyAlignment="1">
      <alignment horizontal="center" wrapText="1"/>
    </xf>
    <xf numFmtId="41" fontId="31" fillId="5" borderId="13" xfId="28" applyNumberFormat="1" applyFont="1" applyFill="1" applyBorder="1" applyAlignment="1">
      <alignment horizontal="center" vertical="center" wrapText="1"/>
    </xf>
    <xf numFmtId="41" fontId="31" fillId="5" borderId="15" xfId="28" applyNumberFormat="1" applyFont="1" applyFill="1" applyBorder="1" applyAlignment="1">
      <alignment horizontal="center" vertical="center" wrapText="1"/>
    </xf>
    <xf numFmtId="0" fontId="12" fillId="0" borderId="18" xfId="8" applyFont="1" applyBorder="1" applyAlignment="1">
      <alignment horizontal="center"/>
    </xf>
    <xf numFmtId="0" fontId="12" fillId="0" borderId="22" xfId="8" applyFont="1" applyBorder="1" applyAlignment="1">
      <alignment horizontal="center"/>
    </xf>
    <xf numFmtId="0" fontId="13" fillId="6" borderId="25" xfId="8" applyFont="1" applyFill="1" applyBorder="1" applyAlignment="1">
      <alignment horizontal="center" wrapText="1"/>
    </xf>
    <xf numFmtId="0" fontId="13" fillId="6" borderId="26" xfId="8" applyFont="1" applyFill="1" applyBorder="1" applyAlignment="1">
      <alignment horizontal="center" wrapText="1"/>
    </xf>
    <xf numFmtId="0" fontId="13" fillId="6" borderId="23" xfId="8" applyFont="1" applyFill="1" applyBorder="1" applyAlignment="1">
      <alignment horizontal="center" wrapText="1"/>
    </xf>
    <xf numFmtId="0" fontId="13" fillId="6" borderId="24" xfId="8" applyFont="1" applyFill="1" applyBorder="1" applyAlignment="1">
      <alignment horizontal="center" wrapText="1"/>
    </xf>
  </cellXfs>
  <cellStyles count="32">
    <cellStyle name="Comma" xfId="1" builtinId="3"/>
    <cellStyle name="Comma 2" xfId="6"/>
    <cellStyle name="Comma 2 2" xfId="10"/>
    <cellStyle name="Comma 3" xfId="7"/>
    <cellStyle name="Comma 4" xfId="11"/>
    <cellStyle name="Comma 5" xfId="24"/>
    <cellStyle name="Currency 2" xfId="25"/>
    <cellStyle name="Normal" xfId="0" builtinId="0"/>
    <cellStyle name="Normal 10" xfId="12"/>
    <cellStyle name="Normal 11" xfId="27"/>
    <cellStyle name="Normal 12" xfId="13"/>
    <cellStyle name="Normal 13" xfId="14"/>
    <cellStyle name="Normal 2" xfId="4"/>
    <cellStyle name="Normal 2 2" xfId="8"/>
    <cellStyle name="Normal 3" xfId="15"/>
    <cellStyle name="Normal 4" xfId="26"/>
    <cellStyle name="Normal 5" xfId="16"/>
    <cellStyle name="Normal 6" xfId="17"/>
    <cellStyle name="Normal 7" xfId="18"/>
    <cellStyle name="Normal 8" xfId="19"/>
    <cellStyle name="Normal 9" xfId="20"/>
    <cellStyle name="Normal_DFIT-WaEle_SUM" xfId="30"/>
    <cellStyle name="Normal_IDGas6_97" xfId="29"/>
    <cellStyle name="Normal_Sheet1" xfId="2"/>
    <cellStyle name="Normal_WAElec6_97" xfId="28"/>
    <cellStyle name="Normal_WAGas6_97" xfId="31"/>
    <cellStyle name="OUTPUT AMOUNTS" xfId="21"/>
    <cellStyle name="OUTPUT LINE ITEMS" xfId="22"/>
    <cellStyle name="Percent" xfId="3" builtinId="5"/>
    <cellStyle name="Percent 2" xfId="5"/>
    <cellStyle name="Percent 2 2" xfId="9"/>
    <cellStyle name="Percent 3" xfId="23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328083</xdr:colOff>
      <xdr:row>16</xdr:row>
      <xdr:rowOff>42333</xdr:rowOff>
    </xdr:from>
    <xdr:to>
      <xdr:col>3</xdr:col>
      <xdr:colOff>328083</xdr:colOff>
      <xdr:row>51</xdr:row>
      <xdr:rowOff>124883</xdr:rowOff>
    </xdr:to>
    <xdr:cxnSp macro="">
      <xdr:nvCxnSpPr>
        <xdr:cNvPr id="2" name="Straight Arrow Connector 1"/>
        <xdr:cNvCxnSpPr/>
      </xdr:nvCxnSpPr>
      <xdr:spPr>
        <a:xfrm>
          <a:off x="3090333" y="3079750"/>
          <a:ext cx="0" cy="516255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338666</xdr:colOff>
      <xdr:row>15</xdr:row>
      <xdr:rowOff>148166</xdr:rowOff>
    </xdr:from>
    <xdr:to>
      <xdr:col>1</xdr:col>
      <xdr:colOff>338666</xdr:colOff>
      <xdr:row>51</xdr:row>
      <xdr:rowOff>71966</xdr:rowOff>
    </xdr:to>
    <xdr:cxnSp macro="">
      <xdr:nvCxnSpPr>
        <xdr:cNvPr id="3" name="Straight Arrow Connector 2"/>
        <xdr:cNvCxnSpPr/>
      </xdr:nvCxnSpPr>
      <xdr:spPr>
        <a:xfrm>
          <a:off x="1756833" y="3026833"/>
          <a:ext cx="0" cy="516255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1206500</xdr:colOff>
      <xdr:row>16</xdr:row>
      <xdr:rowOff>0</xdr:rowOff>
    </xdr:from>
    <xdr:to>
      <xdr:col>1</xdr:col>
      <xdr:colOff>1238250</xdr:colOff>
      <xdr:row>55</xdr:row>
      <xdr:rowOff>137583</xdr:rowOff>
    </xdr:to>
    <xdr:cxnSp macro="">
      <xdr:nvCxnSpPr>
        <xdr:cNvPr id="2" name="Straight Arrow Connector 1"/>
        <xdr:cNvCxnSpPr/>
      </xdr:nvCxnSpPr>
      <xdr:spPr>
        <a:xfrm>
          <a:off x="2624667" y="3037417"/>
          <a:ext cx="31750" cy="4900083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529166</xdr:colOff>
      <xdr:row>15</xdr:row>
      <xdr:rowOff>148166</xdr:rowOff>
    </xdr:from>
    <xdr:to>
      <xdr:col>3</xdr:col>
      <xdr:colOff>529166</xdr:colOff>
      <xdr:row>55</xdr:row>
      <xdr:rowOff>74083</xdr:rowOff>
    </xdr:to>
    <xdr:cxnSp macro="">
      <xdr:nvCxnSpPr>
        <xdr:cNvPr id="3" name="Straight Arrow Connector 2"/>
        <xdr:cNvCxnSpPr/>
      </xdr:nvCxnSpPr>
      <xdr:spPr>
        <a:xfrm>
          <a:off x="4201583" y="3026833"/>
          <a:ext cx="0" cy="484716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16</xdr:row>
      <xdr:rowOff>28575</xdr:rowOff>
    </xdr:from>
    <xdr:to>
      <xdr:col>1</xdr:col>
      <xdr:colOff>184150</xdr:colOff>
      <xdr:row>51</xdr:row>
      <xdr:rowOff>134408</xdr:rowOff>
    </xdr:to>
    <xdr:cxnSp macro="">
      <xdr:nvCxnSpPr>
        <xdr:cNvPr id="2" name="Straight Arrow Connector 1"/>
        <xdr:cNvCxnSpPr/>
      </xdr:nvCxnSpPr>
      <xdr:spPr>
        <a:xfrm>
          <a:off x="1571625" y="3105150"/>
          <a:ext cx="31750" cy="5287433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16</xdr:row>
      <xdr:rowOff>19050</xdr:rowOff>
    </xdr:from>
    <xdr:to>
      <xdr:col>3</xdr:col>
      <xdr:colOff>260350</xdr:colOff>
      <xdr:row>51</xdr:row>
      <xdr:rowOff>124883</xdr:rowOff>
    </xdr:to>
    <xdr:cxnSp macro="">
      <xdr:nvCxnSpPr>
        <xdr:cNvPr id="3" name="Straight Arrow Connector 2"/>
        <xdr:cNvCxnSpPr/>
      </xdr:nvCxnSpPr>
      <xdr:spPr>
        <a:xfrm>
          <a:off x="2952750" y="3095625"/>
          <a:ext cx="31750" cy="5287433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497417</xdr:colOff>
      <xdr:row>15</xdr:row>
      <xdr:rowOff>21166</xdr:rowOff>
    </xdr:from>
    <xdr:to>
      <xdr:col>1</xdr:col>
      <xdr:colOff>529167</xdr:colOff>
      <xdr:row>49</xdr:row>
      <xdr:rowOff>126999</xdr:rowOff>
    </xdr:to>
    <xdr:cxnSp macro="">
      <xdr:nvCxnSpPr>
        <xdr:cNvPr id="2" name="Straight Arrow Connector 1"/>
        <xdr:cNvCxnSpPr/>
      </xdr:nvCxnSpPr>
      <xdr:spPr>
        <a:xfrm>
          <a:off x="1916642" y="2935816"/>
          <a:ext cx="31750" cy="5125508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352425</xdr:colOff>
      <xdr:row>15</xdr:row>
      <xdr:rowOff>4233</xdr:rowOff>
    </xdr:from>
    <xdr:to>
      <xdr:col>3</xdr:col>
      <xdr:colOff>384175</xdr:colOff>
      <xdr:row>49</xdr:row>
      <xdr:rowOff>113241</xdr:rowOff>
    </xdr:to>
    <xdr:cxnSp macro="">
      <xdr:nvCxnSpPr>
        <xdr:cNvPr id="3" name="Straight Arrow Connector 2"/>
        <xdr:cNvCxnSpPr/>
      </xdr:nvCxnSpPr>
      <xdr:spPr>
        <a:xfrm>
          <a:off x="3200400" y="2918883"/>
          <a:ext cx="31750" cy="5128683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)%20CAP14%20-%20WA%20CapX%20Additions%2012.31.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)%20CAP15%20-%20WA%20CapX%20Additions%2012.31.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)%20CAP16%20-%20WA%20CapX%20Additions%2012.31.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ket%20notes/UE-150204%20UG-150205%20Avista%20GRC/Pro%20forma%20model/Originals/Pro%20Forma%2009.2014%20WA%20Gas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14"/>
      <sheetName val="CAP14.1 -Allocations"/>
      <sheetName val="CAP14.2 - AMA CALC"/>
      <sheetName val="CAP14.3 ADDS"/>
    </sheetNames>
    <sheetDataSet>
      <sheetData sheetId="0">
        <row r="13">
          <cell r="C13">
            <v>1603.2157143000002</v>
          </cell>
          <cell r="E13">
            <v>126.27957616249998</v>
          </cell>
        </row>
        <row r="14">
          <cell r="C14">
            <v>11410.832175900001</v>
          </cell>
          <cell r="E14">
            <v>828.91021686249996</v>
          </cell>
        </row>
        <row r="15">
          <cell r="C15">
            <v>130.9347669</v>
          </cell>
          <cell r="E15">
            <v>18.425165787499999</v>
          </cell>
        </row>
        <row r="18">
          <cell r="C18">
            <v>16835.809032600002</v>
          </cell>
          <cell r="E18">
            <v>1215.2360168500002</v>
          </cell>
        </row>
        <row r="21">
          <cell r="C21">
            <v>8740.2759999999998</v>
          </cell>
          <cell r="E21">
            <v>1088.35375</v>
          </cell>
        </row>
        <row r="22">
          <cell r="C22">
            <v>8795.2632002932824</v>
          </cell>
          <cell r="E22">
            <v>583.76715815752107</v>
          </cell>
        </row>
        <row r="25">
          <cell r="C25">
            <v>3744.6639155504286</v>
          </cell>
          <cell r="E25">
            <v>238.11661418083352</v>
          </cell>
        </row>
        <row r="26">
          <cell r="C26">
            <v>845.53763793849294</v>
          </cell>
          <cell r="E26">
            <v>87.833200323539117</v>
          </cell>
        </row>
        <row r="29">
          <cell r="C29">
            <v>2504.4735347347432</v>
          </cell>
          <cell r="E29">
            <v>196.11657355861036</v>
          </cell>
        </row>
        <row r="30">
          <cell r="C30">
            <v>1601.2207845025407</v>
          </cell>
          <cell r="E30">
            <v>125.38600604566892</v>
          </cell>
        </row>
        <row r="36">
          <cell r="C36">
            <v>116.48481100680002</v>
          </cell>
          <cell r="E36">
            <v>24.181756506400003</v>
          </cell>
        </row>
        <row r="39">
          <cell r="C39">
            <v>3451.8719999999998</v>
          </cell>
          <cell r="E39">
            <v>598.44591666666668</v>
          </cell>
        </row>
        <row r="40">
          <cell r="C40">
            <v>1841.5023330220797</v>
          </cell>
          <cell r="E40">
            <v>76.729263875919997</v>
          </cell>
        </row>
        <row r="41">
          <cell r="C41">
            <v>34.056355500000002</v>
          </cell>
          <cell r="E41">
            <v>2.1329580125000001</v>
          </cell>
        </row>
        <row r="44">
          <cell r="C44">
            <v>825.390541153399</v>
          </cell>
          <cell r="E44">
            <v>50.796333180782959</v>
          </cell>
        </row>
        <row r="45">
          <cell r="C45">
            <v>250.75965480474702</v>
          </cell>
          <cell r="E45">
            <v>26.048542377399208</v>
          </cell>
        </row>
        <row r="48">
          <cell r="C48">
            <v>780.16022009117501</v>
          </cell>
          <cell r="E48">
            <v>56.549503954288859</v>
          </cell>
        </row>
        <row r="49">
          <cell r="C49">
            <v>498.79096038616109</v>
          </cell>
          <cell r="E49">
            <v>36.154600888807629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CAP15"/>
      <sheetName val="CAP15.1-Allocations"/>
      <sheetName val="CAP15.2 - AMA CALC"/>
      <sheetName val="CAP15.3"/>
    </sheetNames>
    <sheetDataSet>
      <sheetData sheetId="0"/>
      <sheetData sheetId="1">
        <row r="13">
          <cell r="C13">
            <v>0</v>
          </cell>
          <cell r="E13">
            <v>0</v>
          </cell>
        </row>
        <row r="14">
          <cell r="C14">
            <v>11884.948</v>
          </cell>
          <cell r="E14">
            <v>7767.2647500000021</v>
          </cell>
        </row>
        <row r="15">
          <cell r="C15">
            <v>0</v>
          </cell>
          <cell r="E15">
            <v>0</v>
          </cell>
        </row>
        <row r="18">
          <cell r="C18">
            <v>0</v>
          </cell>
          <cell r="E18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5357.6769999999997</v>
          </cell>
          <cell r="E22">
            <v>3906.5619583333328</v>
          </cell>
        </row>
        <row r="25">
          <cell r="C25">
            <v>1.4600397313196944</v>
          </cell>
          <cell r="E25">
            <v>1.3992047425147072</v>
          </cell>
        </row>
        <row r="26">
          <cell r="C26">
            <v>0</v>
          </cell>
          <cell r="E26">
            <v>0</v>
          </cell>
        </row>
        <row r="29">
          <cell r="C29">
            <v>4734.0391626240234</v>
          </cell>
          <cell r="E29">
            <v>4036.5326284549974</v>
          </cell>
        </row>
        <row r="30">
          <cell r="C30">
            <v>1617.522050139389</v>
          </cell>
          <cell r="E30">
            <v>1171.0656875648929</v>
          </cell>
        </row>
        <row r="31">
          <cell r="C31">
            <v>42606.352463616211</v>
          </cell>
          <cell r="E31">
            <v>36328.793656094975</v>
          </cell>
        </row>
        <row r="32">
          <cell r="C32">
            <v>1034.1534418923964</v>
          </cell>
          <cell r="E32">
            <v>748.71412811525943</v>
          </cell>
        </row>
        <row r="39">
          <cell r="C39">
            <v>0</v>
          </cell>
          <cell r="E39">
            <v>0</v>
          </cell>
        </row>
        <row r="42">
          <cell r="C42">
            <v>0</v>
          </cell>
          <cell r="E42">
            <v>0</v>
          </cell>
        </row>
        <row r="43">
          <cell r="C43">
            <v>4498.857</v>
          </cell>
          <cell r="E43">
            <v>3045.5037083333336</v>
          </cell>
        </row>
        <row r="44">
          <cell r="C44">
            <v>0</v>
          </cell>
          <cell r="E44">
            <v>0</v>
          </cell>
        </row>
        <row r="47">
          <cell r="C47">
            <v>0.4059602686803056</v>
          </cell>
          <cell r="E47">
            <v>0.38904525748529284</v>
          </cell>
        </row>
        <row r="48">
          <cell r="C48">
            <v>0</v>
          </cell>
          <cell r="E48">
            <v>0</v>
          </cell>
        </row>
        <row r="51">
          <cell r="C51">
            <v>1316.2873373759769</v>
          </cell>
          <cell r="E51">
            <v>1122.34745071167</v>
          </cell>
        </row>
        <row r="52">
          <cell r="C52">
            <v>449.74781986061112</v>
          </cell>
          <cell r="E52">
            <v>325.61178368510741</v>
          </cell>
        </row>
        <row r="53">
          <cell r="C53">
            <v>11846.586036383793</v>
          </cell>
          <cell r="E53">
            <v>10101.12705640503</v>
          </cell>
        </row>
        <row r="54">
          <cell r="C54">
            <v>287.54368810760388</v>
          </cell>
          <cell r="E54">
            <v>208.17802563474083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16"/>
      <sheetName val="CAP16 AMI"/>
      <sheetName val="CAP16.1- Allocations"/>
      <sheetName val="CAP16.2-AMA "/>
      <sheetName val="CAP16.3 Adds"/>
    </sheetNames>
    <sheetDataSet>
      <sheetData sheetId="0">
        <row r="2">
          <cell r="A2" t="str">
            <v>Test Year Ended September 30, 2014 Ratebase Adjusted to 12/31/16 AMA</v>
          </cell>
        </row>
        <row r="12">
          <cell r="C12">
            <v>6831.7920504000012</v>
          </cell>
          <cell r="E12">
            <v>3240.6908922749994</v>
          </cell>
        </row>
        <row r="13">
          <cell r="C13">
            <v>30528.462658200002</v>
          </cell>
          <cell r="E13">
            <v>6876.3188847500023</v>
          </cell>
        </row>
        <row r="14">
          <cell r="C14">
            <v>3063.9300000000003</v>
          </cell>
          <cell r="E14">
            <v>1349.9762500000002</v>
          </cell>
        </row>
        <row r="17">
          <cell r="C17">
            <v>38781.806673200001</v>
          </cell>
          <cell r="E17">
            <v>8193.8794129750004</v>
          </cell>
        </row>
        <row r="20">
          <cell r="C20">
            <v>5766.8689999999997</v>
          </cell>
          <cell r="E20">
            <v>2717.9277916666661</v>
          </cell>
        </row>
        <row r="21">
          <cell r="C21">
            <v>37133.071857772928</v>
          </cell>
          <cell r="E21">
            <v>16777.006472251163</v>
          </cell>
        </row>
        <row r="24">
          <cell r="C24">
            <v>10091.989742371716</v>
          </cell>
          <cell r="E24">
            <v>3308.5251207180991</v>
          </cell>
        </row>
        <row r="25">
          <cell r="C25">
            <v>3715.0138640999999</v>
          </cell>
          <cell r="E25">
            <v>1858.0100269469854</v>
          </cell>
        </row>
        <row r="28">
          <cell r="C28">
            <v>4605.6183689967429</v>
          </cell>
          <cell r="E28">
            <v>1781.14630988823</v>
          </cell>
        </row>
        <row r="29">
          <cell r="C29">
            <v>7203.6595002256754</v>
          </cell>
          <cell r="E29">
            <v>2785.8955103380008</v>
          </cell>
        </row>
        <row r="36">
          <cell r="C36">
            <v>666.31770749999998</v>
          </cell>
          <cell r="E36">
            <v>333.15762507905004</v>
          </cell>
        </row>
        <row r="39">
          <cell r="C39">
            <v>0</v>
          </cell>
          <cell r="E39">
            <v>0</v>
          </cell>
        </row>
        <row r="40">
          <cell r="C40">
            <v>19418.870119876527</v>
          </cell>
          <cell r="E40">
            <v>8268.3357777981182</v>
          </cell>
        </row>
        <row r="41">
          <cell r="C41">
            <v>281.08</v>
          </cell>
          <cell r="E41">
            <v>133.11000155000002</v>
          </cell>
        </row>
        <row r="44">
          <cell r="C44">
            <v>2908.4314373780262</v>
          </cell>
          <cell r="E44">
            <v>975.7132713210417</v>
          </cell>
        </row>
        <row r="45">
          <cell r="C45">
            <v>1101.7553239000001</v>
          </cell>
          <cell r="E45">
            <v>551.02686394532418</v>
          </cell>
        </row>
        <row r="48">
          <cell r="C48">
            <v>1365.8803825549355</v>
          </cell>
          <cell r="E48">
            <v>528.23152250593421</v>
          </cell>
        </row>
        <row r="49">
          <cell r="C49">
            <v>2136.3770086115655</v>
          </cell>
          <cell r="E49">
            <v>826.20827879133299</v>
          </cell>
        </row>
      </sheetData>
      <sheetData sheetId="1">
        <row r="20">
          <cell r="C20">
            <v>0</v>
          </cell>
        </row>
      </sheetData>
      <sheetData sheetId="2">
        <row r="108">
          <cell r="D108">
            <v>32242.913019710002</v>
          </cell>
          <cell r="E108">
            <v>19070.485588714582</v>
          </cell>
        </row>
        <row r="109">
          <cell r="D109">
            <v>8757.2179802900009</v>
          </cell>
          <cell r="E109">
            <v>5179.5692029520833</v>
          </cell>
        </row>
        <row r="197">
          <cell r="D197">
            <v>0</v>
          </cell>
          <cell r="E197">
            <v>0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-2016"/>
      <sheetName val="RR SUMMARY"/>
      <sheetName val="CF"/>
      <sheetName val="ADJ DETAIL INPUT"/>
      <sheetName val="LEAD SHEETS-DO NOT ENTER"/>
      <sheetName val="ADJ SUMMARY"/>
      <sheetName val="DEBT CALC"/>
      <sheetName val="ROO INPUT"/>
      <sheetName val="Recap Summary-for sttlmt di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AVISTA UTILITIES</v>
          </cell>
          <cell r="B3"/>
          <cell r="C3"/>
        </row>
        <row r="5">
          <cell r="A5" t="str">
            <v>TWELVE MONTHS ENDED SEPTEMBER 30, 2014</v>
          </cell>
          <cell r="B5"/>
          <cell r="C5"/>
        </row>
        <row r="6">
          <cell r="A6" t="str">
            <v xml:space="preserve">(000'S OF DOLLARS)   </v>
          </cell>
          <cell r="B6"/>
          <cell r="C6"/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74"/>
  <sheetViews>
    <sheetView zoomScaleNormal="100" workbookViewId="0">
      <pane xSplit="1" ySplit="9" topLeftCell="U19" activePane="bottomRight" state="frozen"/>
      <selection activeCell="Z27" sqref="Z27"/>
      <selection pane="topRight" activeCell="Z27" sqref="Z27"/>
      <selection pane="bottomLeft" activeCell="Z27" sqref="Z27"/>
      <selection pane="bottomRight" activeCell="AB46" sqref="AB46"/>
    </sheetView>
  </sheetViews>
  <sheetFormatPr defaultRowHeight="12.75"/>
  <cols>
    <col min="1" max="1" width="46" customWidth="1"/>
    <col min="2" max="2" width="15.42578125" bestFit="1" customWidth="1"/>
    <col min="3" max="3" width="16.140625" bestFit="1" customWidth="1"/>
    <col min="4" max="4" width="13.7109375" bestFit="1" customWidth="1"/>
    <col min="5" max="5" width="16.28515625" style="21" bestFit="1" customWidth="1"/>
    <col min="6" max="6" width="14.140625" bestFit="1" customWidth="1"/>
    <col min="7" max="7" width="1.5703125" style="1" customWidth="1"/>
    <col min="8" max="8" width="16.140625" bestFit="1" customWidth="1"/>
    <col min="9" max="9" width="14.140625" bestFit="1" customWidth="1"/>
    <col min="10" max="10" width="17.42578125" customWidth="1"/>
    <col min="11" max="11" width="2.140625" style="1" customWidth="1"/>
    <col min="12" max="12" width="16.5703125" bestFit="1" customWidth="1"/>
    <col min="13" max="13" width="17.28515625" style="21" bestFit="1" customWidth="1"/>
    <col min="14" max="14" width="17.28515625" style="21" customWidth="1"/>
    <col min="15" max="15" width="17" bestFit="1" customWidth="1"/>
    <col min="16" max="16" width="14.140625" bestFit="1" customWidth="1"/>
    <col min="17" max="17" width="1.140625" style="17" customWidth="1"/>
    <col min="18" max="21" width="14.7109375" style="17" customWidth="1"/>
    <col min="22" max="22" width="1.140625" style="17" customWidth="1"/>
    <col min="23" max="23" width="16.7109375" bestFit="1" customWidth="1"/>
    <col min="24" max="24" width="12" style="21" bestFit="1" customWidth="1"/>
    <col min="25" max="25" width="13.85546875" bestFit="1" customWidth="1"/>
    <col min="26" max="26" width="13.85546875" customWidth="1"/>
    <col min="27" max="27" width="14.28515625" bestFit="1" customWidth="1"/>
    <col min="28" max="28" width="14" bestFit="1" customWidth="1"/>
    <col min="29" max="29" width="2.28515625" style="1" customWidth="1"/>
    <col min="30" max="30" width="22.140625" bestFit="1" customWidth="1"/>
    <col min="31" max="31" width="1.85546875" style="1" customWidth="1"/>
  </cols>
  <sheetData>
    <row r="1" spans="1:31">
      <c r="A1" s="6" t="s">
        <v>2</v>
      </c>
    </row>
    <row r="2" spans="1:31" ht="13.5" thickBot="1">
      <c r="A2" s="6" t="s">
        <v>8</v>
      </c>
      <c r="R2" s="260" t="s">
        <v>277</v>
      </c>
      <c r="S2" s="261" t="s">
        <v>278</v>
      </c>
      <c r="T2" s="261" t="s">
        <v>279</v>
      </c>
      <c r="U2" s="261" t="s">
        <v>274</v>
      </c>
    </row>
    <row r="3" spans="1:31" ht="13.5" thickBot="1">
      <c r="A3" s="6" t="s">
        <v>48</v>
      </c>
      <c r="B3" s="257" t="s">
        <v>109</v>
      </c>
      <c r="C3" s="258"/>
      <c r="D3" s="258"/>
      <c r="E3" s="258"/>
      <c r="F3" s="259"/>
      <c r="H3" s="257" t="s">
        <v>45</v>
      </c>
      <c r="I3" s="258"/>
      <c r="J3" s="259"/>
      <c r="L3" s="257" t="s">
        <v>93</v>
      </c>
      <c r="M3" s="258"/>
      <c r="N3" s="258"/>
      <c r="O3" s="258"/>
      <c r="P3" s="259"/>
      <c r="Q3" s="25"/>
      <c r="R3" s="260"/>
      <c r="S3" s="261"/>
      <c r="T3" s="261"/>
      <c r="U3" s="261"/>
      <c r="V3" s="25"/>
      <c r="W3" s="257" t="s">
        <v>66</v>
      </c>
      <c r="X3" s="258"/>
      <c r="Y3" s="258"/>
      <c r="Z3" s="258"/>
      <c r="AA3" s="258"/>
      <c r="AB3" s="259"/>
      <c r="AD3" s="134" t="s">
        <v>45</v>
      </c>
      <c r="AE3" s="4"/>
    </row>
    <row r="4" spans="1:31" s="21" customFormat="1">
      <c r="A4" s="114"/>
      <c r="B4" s="25"/>
      <c r="C4" s="25"/>
      <c r="D4" s="25"/>
      <c r="E4" s="25"/>
      <c r="F4" s="25"/>
      <c r="G4" s="17"/>
      <c r="H4" s="25"/>
      <c r="I4" s="25"/>
      <c r="J4" s="25"/>
      <c r="K4" s="17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17"/>
      <c r="AD4" s="103"/>
      <c r="AE4" s="103"/>
    </row>
    <row r="5" spans="1:31" ht="25.5">
      <c r="B5" s="9" t="s">
        <v>39</v>
      </c>
      <c r="C5" s="9" t="s">
        <v>40</v>
      </c>
      <c r="D5" s="9" t="s">
        <v>75</v>
      </c>
      <c r="E5" s="98" t="s">
        <v>98</v>
      </c>
      <c r="F5" s="26" t="s">
        <v>97</v>
      </c>
      <c r="H5" s="9" t="s">
        <v>40</v>
      </c>
      <c r="I5" s="33" t="s">
        <v>97</v>
      </c>
      <c r="J5" s="9" t="s">
        <v>39</v>
      </c>
      <c r="L5" s="9" t="s">
        <v>100</v>
      </c>
      <c r="M5" s="26" t="s">
        <v>101</v>
      </c>
      <c r="N5" s="100" t="s">
        <v>102</v>
      </c>
      <c r="O5" s="100" t="s">
        <v>102</v>
      </c>
      <c r="P5" s="26" t="s">
        <v>65</v>
      </c>
      <c r="Q5" s="25"/>
      <c r="R5" s="115">
        <v>2014</v>
      </c>
      <c r="S5" s="115"/>
      <c r="T5" s="115"/>
      <c r="U5" s="115"/>
      <c r="V5" s="25"/>
      <c r="W5" s="156" t="s">
        <v>100</v>
      </c>
      <c r="X5" s="156" t="s">
        <v>101</v>
      </c>
      <c r="Y5" s="157" t="s">
        <v>102</v>
      </c>
      <c r="Z5" s="9" t="s">
        <v>67</v>
      </c>
      <c r="AA5" s="9" t="s">
        <v>67</v>
      </c>
      <c r="AB5" s="115">
        <v>2015</v>
      </c>
      <c r="AD5" s="9" t="s">
        <v>39</v>
      </c>
      <c r="AE5" s="37"/>
    </row>
    <row r="6" spans="1:31" s="113" customFormat="1">
      <c r="A6" s="105" t="s">
        <v>83</v>
      </c>
      <c r="B6" s="106"/>
      <c r="C6" s="106"/>
      <c r="D6" s="106"/>
      <c r="E6" s="107"/>
      <c r="F6" s="109"/>
      <c r="G6" s="108"/>
      <c r="H6" s="106"/>
      <c r="I6" s="106"/>
      <c r="J6" s="106"/>
      <c r="K6" s="108"/>
      <c r="L6" s="106"/>
      <c r="M6" s="109"/>
      <c r="N6" s="109"/>
      <c r="O6" s="110"/>
      <c r="P6" s="154"/>
      <c r="Q6" s="111"/>
      <c r="R6" s="126">
        <v>3.11</v>
      </c>
      <c r="S6" s="126"/>
      <c r="T6" s="126" t="s">
        <v>270</v>
      </c>
      <c r="U6" s="126">
        <v>3.11</v>
      </c>
      <c r="V6" s="111"/>
      <c r="W6" s="158"/>
      <c r="X6" s="158"/>
      <c r="Y6" s="159"/>
      <c r="Z6" s="110"/>
      <c r="AA6" s="106"/>
      <c r="AB6" s="116">
        <v>4.01</v>
      </c>
      <c r="AC6" s="108"/>
      <c r="AD6" s="106"/>
      <c r="AE6" s="112"/>
    </row>
    <row r="7" spans="1:31" s="113" customFormat="1">
      <c r="A7" s="105" t="s">
        <v>84</v>
      </c>
      <c r="B7" s="106"/>
      <c r="C7" s="106"/>
      <c r="D7" s="106"/>
      <c r="E7" s="107"/>
      <c r="F7" s="109"/>
      <c r="G7" s="108"/>
      <c r="H7" s="106"/>
      <c r="I7" s="106"/>
      <c r="J7" s="106"/>
      <c r="K7" s="108"/>
      <c r="L7" s="106"/>
      <c r="M7" s="109"/>
      <c r="N7" s="109"/>
      <c r="O7" s="110"/>
      <c r="P7" s="3"/>
      <c r="Q7" s="111"/>
      <c r="R7" s="126" t="s">
        <v>85</v>
      </c>
      <c r="S7" s="126" t="s">
        <v>276</v>
      </c>
      <c r="T7" s="126" t="s">
        <v>280</v>
      </c>
      <c r="U7" s="126" t="s">
        <v>275</v>
      </c>
      <c r="V7" s="111"/>
      <c r="W7" s="106"/>
      <c r="X7" s="109"/>
      <c r="Y7" s="110"/>
      <c r="Z7" s="110"/>
      <c r="AA7" s="106"/>
      <c r="AB7" s="116" t="s">
        <v>86</v>
      </c>
      <c r="AC7" s="108"/>
      <c r="AD7" s="106"/>
      <c r="AE7" s="112"/>
    </row>
    <row r="8" spans="1:31" s="15" customFormat="1" ht="26.25" thickBot="1">
      <c r="A8" s="13"/>
      <c r="B8" s="14" t="s">
        <v>97</v>
      </c>
      <c r="C8" s="14" t="s">
        <v>97</v>
      </c>
      <c r="D8" s="14" t="s">
        <v>74</v>
      </c>
      <c r="E8" s="16" t="s">
        <v>41</v>
      </c>
      <c r="F8" s="16" t="s">
        <v>10</v>
      </c>
      <c r="G8" s="10"/>
      <c r="H8" s="14" t="s">
        <v>97</v>
      </c>
      <c r="I8" s="16" t="s">
        <v>10</v>
      </c>
      <c r="J8" s="14" t="s">
        <v>99</v>
      </c>
      <c r="K8" s="10"/>
      <c r="L8" s="14" t="s">
        <v>96</v>
      </c>
      <c r="M8" s="16" t="s">
        <v>47</v>
      </c>
      <c r="N8" s="16" t="s">
        <v>113</v>
      </c>
      <c r="O8" s="14" t="s">
        <v>46</v>
      </c>
      <c r="P8" s="16" t="s">
        <v>10</v>
      </c>
      <c r="Q8" s="3"/>
      <c r="R8" s="117" t="s">
        <v>135</v>
      </c>
      <c r="S8" s="118"/>
      <c r="T8" s="118"/>
      <c r="U8" s="117" t="s">
        <v>135</v>
      </c>
      <c r="V8" s="3"/>
      <c r="W8" s="14" t="s">
        <v>96</v>
      </c>
      <c r="X8" s="16" t="s">
        <v>47</v>
      </c>
      <c r="Y8" s="14" t="s">
        <v>46</v>
      </c>
      <c r="Z8" s="16" t="s">
        <v>113</v>
      </c>
      <c r="AA8" s="14" t="s">
        <v>46</v>
      </c>
      <c r="AB8" s="117" t="s">
        <v>10</v>
      </c>
      <c r="AC8" s="10"/>
      <c r="AD8" s="18" t="s">
        <v>68</v>
      </c>
      <c r="AE8" s="34"/>
    </row>
    <row r="9" spans="1:31" s="15" customFormat="1">
      <c r="A9" s="35" t="s">
        <v>62</v>
      </c>
      <c r="B9" s="33"/>
      <c r="C9" s="33"/>
      <c r="D9" s="33"/>
      <c r="E9" s="3"/>
      <c r="F9" s="3"/>
      <c r="G9" s="10"/>
      <c r="H9" s="33"/>
      <c r="I9" s="3"/>
      <c r="J9" s="33"/>
      <c r="K9" s="10"/>
      <c r="L9" s="33"/>
      <c r="M9" s="3"/>
      <c r="N9" s="3"/>
      <c r="O9" s="33"/>
      <c r="P9" s="3"/>
      <c r="Q9" s="3"/>
      <c r="R9" s="118"/>
      <c r="S9" s="118"/>
      <c r="T9" s="118"/>
      <c r="U9" s="118"/>
      <c r="V9" s="3"/>
      <c r="W9" s="33"/>
      <c r="X9" s="3"/>
      <c r="Y9" s="33"/>
      <c r="Z9" s="33"/>
      <c r="AA9" s="33"/>
      <c r="AB9" s="118"/>
      <c r="AC9" s="10"/>
      <c r="AD9" s="34"/>
      <c r="AE9" s="34"/>
    </row>
    <row r="10" spans="1:31">
      <c r="A10" s="11" t="s">
        <v>34</v>
      </c>
      <c r="B10" s="144">
        <f>C10+1603</f>
        <v>8386</v>
      </c>
      <c r="C10" s="138">
        <f>6803-20</f>
        <v>6783</v>
      </c>
      <c r="D10" s="19">
        <f>B10-C10</f>
        <v>1603</v>
      </c>
      <c r="E10" s="140"/>
      <c r="F10" s="140">
        <f>SUM(,E10,D10)</f>
        <v>1603</v>
      </c>
      <c r="I10" s="12"/>
      <c r="N10" s="7">
        <f>'E-CAP14, G-CAP14'!AA31</f>
        <v>-306.92403000000002</v>
      </c>
      <c r="O10" s="7">
        <f>('E-CAP14, G-CAP14'!G30+'E-CAP14, G-CAP14'!G29)</f>
        <v>914</v>
      </c>
      <c r="P10" s="19">
        <f>SUM(L10:O10)</f>
        <v>607.07596999999998</v>
      </c>
      <c r="Q10" s="24"/>
      <c r="R10" s="119">
        <f>F10+P10</f>
        <v>2210.0759699999999</v>
      </c>
      <c r="S10" s="119">
        <f>'Recreate DR 131 Att. D Pg 7'!B10</f>
        <v>7394</v>
      </c>
      <c r="T10" s="250">
        <f>S10-(19103*(S10/(S10+S14+S17)))</f>
        <v>-51.447367033892988</v>
      </c>
      <c r="U10" s="250">
        <f>R10+T10</f>
        <v>2158.6286029661069</v>
      </c>
      <c r="V10" s="24"/>
      <c r="W10" s="12"/>
      <c r="Y10" s="7"/>
      <c r="Z10" s="7">
        <f>('E-CAP15, G-CAP-15'!W30*'E-CAP15, G-CAP-15'!F30)+('E-CAP15, G-CAP-15'!W32*'E-CAP15, G-CAP-15'!F32)</f>
        <v>0</v>
      </c>
      <c r="AA10" s="7">
        <f>('E-CAP15, G-CAP-15'!G33)</f>
        <v>4550</v>
      </c>
      <c r="AB10" s="119">
        <f>SUM(W10:AA10)</f>
        <v>4550</v>
      </c>
      <c r="AD10" s="12">
        <f>SUM(J10,P10,AB10)</f>
        <v>5157.0759699999999</v>
      </c>
      <c r="AE10" s="38"/>
    </row>
    <row r="11" spans="1:31">
      <c r="A11" s="11" t="s">
        <v>35</v>
      </c>
      <c r="B11" s="141">
        <f>B57</f>
        <v>16642</v>
      </c>
      <c r="C11" s="141">
        <f>C57</f>
        <v>16475</v>
      </c>
      <c r="D11" s="139">
        <f>D57</f>
        <v>167</v>
      </c>
      <c r="E11" s="141"/>
      <c r="F11" s="140">
        <f t="shared" ref="F11:F14" si="0">SUM(,E11,D11)</f>
        <v>167</v>
      </c>
      <c r="I11" s="12"/>
      <c r="M11" s="19"/>
      <c r="N11" s="7">
        <f>'E-CAP14, G-CAP14'!AA16</f>
        <v>-12.923499999999999</v>
      </c>
      <c r="O11" s="7">
        <f>O57</f>
        <v>248</v>
      </c>
      <c r="P11" s="19">
        <f>SUM(L11:O11)</f>
        <v>235.07650000000001</v>
      </c>
      <c r="Q11" s="24"/>
      <c r="R11" s="119">
        <f t="shared" ref="R11:R14" si="1">F11+P11</f>
        <v>402.07650000000001</v>
      </c>
      <c r="S11" s="119">
        <f>'Recreate DR 131 Att. D Pg 7'!B11</f>
        <v>16426</v>
      </c>
      <c r="T11" s="250">
        <f>S11-(24529*(S11/(S11+S12)))</f>
        <v>-977.71275538853661</v>
      </c>
      <c r="U11" s="250">
        <f>R11+T11</f>
        <v>-575.6362553885366</v>
      </c>
      <c r="V11" s="24"/>
      <c r="X11" s="19"/>
      <c r="Y11" s="7"/>
      <c r="Z11" s="7">
        <f>('E-CAP15, G-CAP-15'!W13*'E-CAP15, G-CAP-15'!F13)+('E-CAP15, G-CAP-15'!W14*'E-CAP15, G-CAP-15'!F14)+('E-CAP15, G-CAP-15'!W15*'E-CAP15, G-CAP-15'!F15)</f>
        <v>0</v>
      </c>
      <c r="AA11" s="7">
        <f>AA57</f>
        <v>222</v>
      </c>
      <c r="AB11" s="119">
        <f>SUM(W11:AA11)</f>
        <v>222</v>
      </c>
      <c r="AD11" s="12">
        <f>SUM(J11,P11,AB11)</f>
        <v>457.07650000000001</v>
      </c>
      <c r="AE11" s="38"/>
    </row>
    <row r="12" spans="1:31">
      <c r="A12" s="11" t="s">
        <v>20</v>
      </c>
      <c r="B12" s="144">
        <f>C12+113</f>
        <v>6821</v>
      </c>
      <c r="C12" s="138">
        <v>6708</v>
      </c>
      <c r="D12" s="19">
        <f>B12-C12</f>
        <v>113</v>
      </c>
      <c r="E12" s="141"/>
      <c r="F12" s="140">
        <f t="shared" si="0"/>
        <v>113</v>
      </c>
      <c r="I12" s="12"/>
      <c r="N12" s="7">
        <f>'E-CAP14, G-CAP14'!AA18</f>
        <v>-29.902600000000003</v>
      </c>
      <c r="O12" s="7">
        <f>'E-CAP14, G-CAP14'!G18</f>
        <v>306</v>
      </c>
      <c r="P12" s="19">
        <f>SUM(L12:O12)</f>
        <v>276.09739999999999</v>
      </c>
      <c r="Q12" s="24"/>
      <c r="R12" s="119">
        <f t="shared" si="1"/>
        <v>389.09739999999999</v>
      </c>
      <c r="S12" s="119">
        <f>'Recreate DR 131 Att. D Pg 7'!B12</f>
        <v>6725</v>
      </c>
      <c r="T12" s="250">
        <f>S12-(24529*(S12/(S12+S11)))</f>
        <v>-400.28724461146339</v>
      </c>
      <c r="U12" s="250">
        <f>R12+T12</f>
        <v>-11.1898446114634</v>
      </c>
      <c r="V12" s="24"/>
      <c r="W12" s="7"/>
      <c r="Y12" s="7"/>
      <c r="Z12" s="7">
        <f>'E-CAP15, G-CAP-15'!W18*'E-CAP15, G-CAP-15'!F18</f>
        <v>0</v>
      </c>
      <c r="AA12" s="7">
        <f>'E-CAP15, G-CAP-15'!G18</f>
        <v>0</v>
      </c>
      <c r="AB12" s="119">
        <f>SUM(W12:AA12)</f>
        <v>0</v>
      </c>
      <c r="AD12" s="12">
        <f>SUM(J12,P12,AB12)</f>
        <v>276.09739999999999</v>
      </c>
      <c r="AE12" s="38"/>
    </row>
    <row r="13" spans="1:31">
      <c r="A13" s="11" t="s">
        <v>11</v>
      </c>
      <c r="B13" s="144">
        <f>C13+648</f>
        <v>24101</v>
      </c>
      <c r="C13" s="138">
        <v>23453</v>
      </c>
      <c r="D13" s="19">
        <f>B13-C13</f>
        <v>648</v>
      </c>
      <c r="E13" s="141"/>
      <c r="F13" s="140">
        <f t="shared" si="0"/>
        <v>648</v>
      </c>
      <c r="I13" s="12"/>
      <c r="M13" s="19"/>
      <c r="N13" s="7">
        <f>'E-CAP14, G-CAP14'!AA23</f>
        <v>-34.4268</v>
      </c>
      <c r="O13" s="7">
        <f>'E-CAP14, G-CAP14'!G23</f>
        <v>512</v>
      </c>
      <c r="P13" s="19">
        <f>SUM(L13:O13)</f>
        <v>477.57319999999999</v>
      </c>
      <c r="Q13" s="24"/>
      <c r="R13" s="119">
        <f t="shared" si="1"/>
        <v>1125.5732</v>
      </c>
      <c r="S13" s="119">
        <f>'Recreate DR 131 Att. D Pg 7'!B13</f>
        <v>23860</v>
      </c>
      <c r="T13" s="250">
        <f>S13-24525</f>
        <v>-665</v>
      </c>
      <c r="U13" s="250">
        <f>R13+T13</f>
        <v>460.57320000000004</v>
      </c>
      <c r="V13" s="24"/>
      <c r="W13" s="7"/>
      <c r="X13" s="19"/>
      <c r="Y13" s="7"/>
      <c r="Z13" s="7">
        <f>'E-CAP15, G-CAP-15'!W21*'E-CAP15, G-CAP-15'!F21</f>
        <v>0</v>
      </c>
      <c r="AA13" s="7">
        <f>'E-CAP15, G-CAP-15'!G23</f>
        <v>156</v>
      </c>
      <c r="AB13" s="119">
        <f>SUM(W13:AA13)</f>
        <v>156</v>
      </c>
      <c r="AD13" s="12">
        <f>SUM(J13,P13,AB13)</f>
        <v>633.57320000000004</v>
      </c>
      <c r="AE13" s="38"/>
    </row>
    <row r="14" spans="1:31">
      <c r="A14" s="11" t="s">
        <v>36</v>
      </c>
      <c r="B14" s="144">
        <f>C14+621</f>
        <v>10778</v>
      </c>
      <c r="C14" s="138">
        <f>10137+20</f>
        <v>10157</v>
      </c>
      <c r="D14" s="19">
        <f>B14-C14</f>
        <v>621</v>
      </c>
      <c r="E14" s="141"/>
      <c r="F14" s="140">
        <f t="shared" si="0"/>
        <v>621</v>
      </c>
      <c r="I14" s="12"/>
      <c r="N14" s="7">
        <f>'E-CAP14, G-CAP14'!AA27</f>
        <v>-160.78200000000001</v>
      </c>
      <c r="O14" s="7">
        <f>'E-CAP14, G-CAP14'!G27</f>
        <v>218</v>
      </c>
      <c r="P14" s="19">
        <f>SUM(L14:O14)</f>
        <v>57.217999999999989</v>
      </c>
      <c r="Q14" s="24"/>
      <c r="R14" s="119">
        <f t="shared" si="1"/>
        <v>678.21799999999996</v>
      </c>
      <c r="S14" s="119">
        <f>'Recreate DR 131 Att. D Pg 7'!B14</f>
        <v>10290</v>
      </c>
      <c r="T14" s="250">
        <f>S14-(19103*(S14/(S10+S14+S17)))</f>
        <v>-71.597701755310482</v>
      </c>
      <c r="U14" s="250">
        <f>R14+T14</f>
        <v>606.62029824468948</v>
      </c>
      <c r="V14" s="24"/>
      <c r="W14" s="7"/>
      <c r="Y14" s="7"/>
      <c r="Z14" s="7">
        <f>'E-CAP15, G-CAP-15'!W25*'E-CAP15, G-CAP-15'!F25</f>
        <v>0</v>
      </c>
      <c r="AA14" s="7">
        <f>'E-CAP15, G-CAP-15'!G27</f>
        <v>0</v>
      </c>
      <c r="AB14" s="119">
        <f>SUM(W14:AA14)</f>
        <v>0</v>
      </c>
      <c r="AD14" s="12">
        <f>SUM(J14,P14,AB14)</f>
        <v>57.217999999999989</v>
      </c>
      <c r="AE14" s="38"/>
    </row>
    <row r="15" spans="1:31">
      <c r="A15" s="11" t="s">
        <v>72</v>
      </c>
      <c r="B15" s="142">
        <f t="shared" ref="B15:F15" si="2">SUM(B10:B14)</f>
        <v>66728</v>
      </c>
      <c r="C15" s="142">
        <f t="shared" si="2"/>
        <v>63576</v>
      </c>
      <c r="D15" s="142">
        <f t="shared" si="2"/>
        <v>3152</v>
      </c>
      <c r="E15" s="142">
        <f t="shared" si="2"/>
        <v>0</v>
      </c>
      <c r="F15" s="142">
        <f t="shared" si="2"/>
        <v>3152</v>
      </c>
      <c r="G15" s="5"/>
      <c r="H15" s="8">
        <f t="shared" ref="H15:U15" si="3">SUM(H10:H14)</f>
        <v>0</v>
      </c>
      <c r="I15" s="8">
        <f t="shared" si="3"/>
        <v>0</v>
      </c>
      <c r="J15" s="8">
        <f t="shared" si="3"/>
        <v>0</v>
      </c>
      <c r="K15" s="5">
        <f t="shared" si="3"/>
        <v>0</v>
      </c>
      <c r="L15" s="8">
        <f t="shared" si="3"/>
        <v>0</v>
      </c>
      <c r="M15" s="20">
        <f t="shared" si="3"/>
        <v>0</v>
      </c>
      <c r="N15" s="20">
        <f t="shared" ref="N15" si="4">SUM(N10:N14)</f>
        <v>-544.95893000000001</v>
      </c>
      <c r="O15" s="8">
        <f t="shared" si="3"/>
        <v>2198</v>
      </c>
      <c r="P15" s="20">
        <f t="shared" si="3"/>
        <v>1653.0410700000002</v>
      </c>
      <c r="Q15" s="24"/>
      <c r="R15" s="120">
        <f t="shared" si="3"/>
        <v>4805.0410700000002</v>
      </c>
      <c r="S15" s="120">
        <f t="shared" si="3"/>
        <v>64695</v>
      </c>
      <c r="T15" s="251">
        <f t="shared" si="3"/>
        <v>-2166.0450687892035</v>
      </c>
      <c r="U15" s="251">
        <f t="shared" si="3"/>
        <v>2638.9960012107967</v>
      </c>
      <c r="V15" s="24"/>
      <c r="W15" s="8">
        <f t="shared" ref="W15:AD15" si="5">SUM(W10:W14)</f>
        <v>0</v>
      </c>
      <c r="X15" s="20">
        <f t="shared" si="5"/>
        <v>0</v>
      </c>
      <c r="Y15" s="8">
        <f t="shared" si="5"/>
        <v>0</v>
      </c>
      <c r="Z15" s="8">
        <f t="shared" ref="Z15" si="6">SUM(Z10:Z14)</f>
        <v>0</v>
      </c>
      <c r="AA15" s="8">
        <f t="shared" si="5"/>
        <v>4928</v>
      </c>
      <c r="AB15" s="120">
        <f t="shared" si="5"/>
        <v>4928</v>
      </c>
      <c r="AC15" s="5">
        <f t="shared" si="5"/>
        <v>0</v>
      </c>
      <c r="AD15" s="8">
        <f t="shared" si="5"/>
        <v>6581.0410699999993</v>
      </c>
      <c r="AE15" s="5"/>
    </row>
    <row r="16" spans="1:31">
      <c r="A16" s="11"/>
      <c r="B16" s="142"/>
      <c r="C16" s="142"/>
      <c r="D16" s="142"/>
      <c r="E16" s="142"/>
      <c r="F16" s="142"/>
      <c r="G16" s="5"/>
      <c r="H16" s="96"/>
      <c r="I16" s="96"/>
      <c r="J16" s="96"/>
      <c r="K16" s="5"/>
      <c r="L16" s="96"/>
      <c r="M16" s="95"/>
      <c r="N16" s="137" t="s">
        <v>85</v>
      </c>
      <c r="O16" s="137" t="s">
        <v>85</v>
      </c>
      <c r="P16" s="95"/>
      <c r="Q16" s="24"/>
      <c r="R16" s="121"/>
      <c r="S16" s="121"/>
      <c r="T16" s="252"/>
      <c r="U16" s="252"/>
      <c r="V16" s="24"/>
      <c r="W16" s="96"/>
      <c r="X16" s="95"/>
      <c r="Y16" s="96"/>
      <c r="Z16" s="137" t="s">
        <v>86</v>
      </c>
      <c r="AA16" s="137" t="s">
        <v>86</v>
      </c>
      <c r="AB16" s="121"/>
      <c r="AC16" s="5"/>
      <c r="AD16" s="96"/>
      <c r="AE16" s="5"/>
    </row>
    <row r="17" spans="1:31">
      <c r="A17" s="11" t="s">
        <v>71</v>
      </c>
      <c r="B17" s="142">
        <v>1264</v>
      </c>
      <c r="C17" s="142">
        <v>1261</v>
      </c>
      <c r="D17" s="142">
        <f>B17-C17</f>
        <v>3</v>
      </c>
      <c r="E17" s="142"/>
      <c r="F17" s="142">
        <f>SUM(D17,E17)</f>
        <v>3</v>
      </c>
      <c r="G17" s="5"/>
      <c r="H17" s="96"/>
      <c r="I17" s="96"/>
      <c r="J17" s="96"/>
      <c r="K17" s="5"/>
      <c r="L17" s="96"/>
      <c r="M17" s="95"/>
      <c r="N17" s="95"/>
      <c r="O17" s="96"/>
      <c r="P17" s="20">
        <f>SUM(L17:O17)</f>
        <v>0</v>
      </c>
      <c r="Q17" s="24"/>
      <c r="R17" s="120">
        <f>SUM(O17:Q17)</f>
        <v>0</v>
      </c>
      <c r="S17" s="120">
        <f>'Recreate DR 131 Att. D Pg 7'!B17</f>
        <v>1287</v>
      </c>
      <c r="T17" s="120">
        <f>S17-(19103*(S17/(S17+S14+S10)))</f>
        <v>-8.9549312107953938</v>
      </c>
      <c r="U17" s="120">
        <f>R17+T17</f>
        <v>-8.9549312107953938</v>
      </c>
      <c r="V17" s="24"/>
      <c r="W17" s="96"/>
      <c r="X17" s="95"/>
      <c r="Y17" s="96"/>
      <c r="Z17" s="96"/>
      <c r="AA17" s="96"/>
      <c r="AB17" s="120">
        <f>SUM(W17:AA17)</f>
        <v>0</v>
      </c>
      <c r="AC17" s="96"/>
      <c r="AD17" s="150">
        <f>SUM(J17,P17,AB17)</f>
        <v>0</v>
      </c>
      <c r="AE17" s="5"/>
    </row>
    <row r="18" spans="1:31">
      <c r="A18" s="11"/>
      <c r="B18" s="141"/>
      <c r="C18" s="141"/>
      <c r="D18" s="141"/>
      <c r="E18" s="141"/>
      <c r="F18" s="141"/>
      <c r="G18" s="5"/>
      <c r="H18" s="5"/>
      <c r="I18" s="5"/>
      <c r="J18" s="5"/>
      <c r="K18" s="5"/>
      <c r="L18" s="5"/>
      <c r="M18" s="24"/>
      <c r="N18" s="24"/>
      <c r="O18" s="5"/>
      <c r="P18" s="24"/>
      <c r="Q18" s="24"/>
      <c r="R18" s="125"/>
      <c r="S18" s="125"/>
      <c r="T18" s="252"/>
      <c r="U18" s="252"/>
      <c r="V18" s="24"/>
      <c r="W18" s="136" t="s">
        <v>95</v>
      </c>
      <c r="X18" s="24"/>
      <c r="Y18" s="5"/>
      <c r="Z18" s="5"/>
      <c r="AA18" s="5"/>
      <c r="AB18" s="125"/>
      <c r="AC18" s="5"/>
      <c r="AD18" s="5"/>
      <c r="AE18" s="5"/>
    </row>
    <row r="19" spans="1:31">
      <c r="A19" t="s">
        <v>4</v>
      </c>
      <c r="B19" s="140">
        <f>-B15-B17</f>
        <v>-67992</v>
      </c>
      <c r="C19" s="140">
        <f>-C15-C17</f>
        <v>-64837</v>
      </c>
      <c r="D19" s="140">
        <f>-D15-D17</f>
        <v>-3155</v>
      </c>
      <c r="E19" s="140">
        <f>-E15-E17</f>
        <v>0</v>
      </c>
      <c r="F19" s="140">
        <f>SUM(E19,D19)</f>
        <v>-3155</v>
      </c>
      <c r="G19" s="5">
        <f t="shared" ref="G19:P19" si="7">-G15</f>
        <v>0</v>
      </c>
      <c r="H19" s="7">
        <f>-H15</f>
        <v>0</v>
      </c>
      <c r="I19" s="7">
        <f>-I15</f>
        <v>0</v>
      </c>
      <c r="J19" s="7">
        <f>-J15</f>
        <v>0</v>
      </c>
      <c r="K19" s="5">
        <f>-K15</f>
        <v>0</v>
      </c>
      <c r="L19" s="7">
        <f t="shared" si="7"/>
        <v>0</v>
      </c>
      <c r="M19" s="19">
        <f t="shared" si="7"/>
        <v>0</v>
      </c>
      <c r="N19" s="19">
        <f t="shared" ref="N19" si="8">-N15</f>
        <v>544.95893000000001</v>
      </c>
      <c r="O19" s="7">
        <f t="shared" si="7"/>
        <v>-2198</v>
      </c>
      <c r="P19" s="19">
        <f t="shared" si="7"/>
        <v>-1653.0410700000002</v>
      </c>
      <c r="Q19" s="24"/>
      <c r="R19" s="119">
        <f t="shared" ref="R19" si="9">-R15</f>
        <v>-4805.0410700000002</v>
      </c>
      <c r="S19" s="119">
        <f>-(S15+S17)</f>
        <v>-65982</v>
      </c>
      <c r="T19" s="250">
        <f>-(T15+T17)</f>
        <v>2174.9999999999991</v>
      </c>
      <c r="U19" s="250">
        <f>-(U15+U17)</f>
        <v>-2630.0410700000011</v>
      </c>
      <c r="V19" s="24"/>
      <c r="W19" s="7">
        <f t="shared" ref="W19:AB19" si="10">-W15</f>
        <v>0</v>
      </c>
      <c r="X19" s="19">
        <f t="shared" si="10"/>
        <v>0</v>
      </c>
      <c r="Y19" s="7">
        <f t="shared" si="10"/>
        <v>0</v>
      </c>
      <c r="Z19" s="7">
        <f t="shared" si="10"/>
        <v>0</v>
      </c>
      <c r="AA19" s="7">
        <f t="shared" si="10"/>
        <v>-4928</v>
      </c>
      <c r="AB19" s="119">
        <f t="shared" si="10"/>
        <v>-4928</v>
      </c>
      <c r="AC19" s="5">
        <f t="shared" ref="AC19" si="11">-AC15</f>
        <v>0</v>
      </c>
      <c r="AD19" s="7">
        <f>-AD15</f>
        <v>-6581.0410699999993</v>
      </c>
      <c r="AE19" s="5"/>
    </row>
    <row r="20" spans="1:31">
      <c r="A20" t="s">
        <v>63</v>
      </c>
      <c r="B20" s="141">
        <f>(B15+B17)*0.35</f>
        <v>23797.199999999997</v>
      </c>
      <c r="C20" s="141">
        <f>(C15+C17)*0.35</f>
        <v>22692.949999999997</v>
      </c>
      <c r="D20" s="141">
        <f>(D15+D17)*0.35</f>
        <v>1104.25</v>
      </c>
      <c r="E20" s="141">
        <f>(E15)*0.35</f>
        <v>0</v>
      </c>
      <c r="F20" s="140">
        <f>SUM(E20,D20)</f>
        <v>1104.25</v>
      </c>
      <c r="H20" s="12"/>
      <c r="I20" s="12"/>
      <c r="L20" s="5">
        <f>(L15)*0.35</f>
        <v>0</v>
      </c>
      <c r="M20" s="24">
        <f>(M15)*0.35</f>
        <v>0</v>
      </c>
      <c r="N20" s="24">
        <f>(N15)*0.35</f>
        <v>-190.7356255</v>
      </c>
      <c r="O20" s="5">
        <f>(O15)*0.35</f>
        <v>769.3</v>
      </c>
      <c r="P20" s="22">
        <f>SUM(L20:O20)</f>
        <v>578.56437449999999</v>
      </c>
      <c r="Q20" s="36"/>
      <c r="R20" s="122">
        <f>R15*0.35</f>
        <v>1681.7643745</v>
      </c>
      <c r="S20" s="122">
        <f>(S15+S17)*0.35</f>
        <v>23093.699999999997</v>
      </c>
      <c r="T20" s="122">
        <f t="shared" ref="T20:U20" si="12">(T15+T17)*0.35</f>
        <v>-761.24999999999966</v>
      </c>
      <c r="U20" s="122">
        <f t="shared" si="12"/>
        <v>920.51437450000037</v>
      </c>
      <c r="V20" s="36"/>
      <c r="W20" s="5">
        <f>(W15)*0.35</f>
        <v>0</v>
      </c>
      <c r="X20" s="24">
        <f>(X15)*0.35</f>
        <v>0</v>
      </c>
      <c r="Y20" s="5">
        <f>(Y15)*0.35</f>
        <v>0</v>
      </c>
      <c r="Z20" s="5">
        <f>(Z15)*0.35</f>
        <v>0</v>
      </c>
      <c r="AA20" s="5">
        <f>(AA15)*0.35</f>
        <v>1724.8</v>
      </c>
      <c r="AB20" s="122">
        <f>SUM(W20:AA20)</f>
        <v>1724.8</v>
      </c>
      <c r="AD20" s="12">
        <f>SUM(J20,P20,AB20)</f>
        <v>2303.3643744999999</v>
      </c>
      <c r="AE20" s="38"/>
    </row>
    <row r="21" spans="1:31" ht="13.5" thickBot="1">
      <c r="A21" t="s">
        <v>5</v>
      </c>
      <c r="B21" s="143">
        <f t="shared" ref="B21:F21" si="13">SUM(B19:B20)</f>
        <v>-44194.8</v>
      </c>
      <c r="C21" s="143">
        <f t="shared" si="13"/>
        <v>-42144.05</v>
      </c>
      <c r="D21" s="143">
        <f t="shared" si="13"/>
        <v>-2050.75</v>
      </c>
      <c r="E21" s="143">
        <f t="shared" si="13"/>
        <v>0</v>
      </c>
      <c r="F21" s="143">
        <f t="shared" si="13"/>
        <v>-2050.75</v>
      </c>
      <c r="G21" s="5"/>
      <c r="H21" s="2">
        <f t="shared" ref="H21:U21" si="14">SUM(H19:H20)</f>
        <v>0</v>
      </c>
      <c r="I21" s="2">
        <f t="shared" si="14"/>
        <v>0</v>
      </c>
      <c r="J21" s="2">
        <f t="shared" si="14"/>
        <v>0</v>
      </c>
      <c r="K21" s="5">
        <f t="shared" si="14"/>
        <v>0</v>
      </c>
      <c r="L21" s="2">
        <f t="shared" si="14"/>
        <v>0</v>
      </c>
      <c r="M21" s="23">
        <f t="shared" si="14"/>
        <v>0</v>
      </c>
      <c r="N21" s="23">
        <f t="shared" ref="N21" si="15">SUM(N19:N20)</f>
        <v>354.22330450000004</v>
      </c>
      <c r="O21" s="2">
        <f t="shared" si="14"/>
        <v>-1428.7</v>
      </c>
      <c r="P21" s="23">
        <f t="shared" si="14"/>
        <v>-1074.4766955000002</v>
      </c>
      <c r="Q21" s="24"/>
      <c r="R21" s="123">
        <f t="shared" si="14"/>
        <v>-3123.2766955000002</v>
      </c>
      <c r="S21" s="123">
        <f t="shared" si="14"/>
        <v>-42888.3</v>
      </c>
      <c r="T21" s="123">
        <f t="shared" si="14"/>
        <v>1413.7499999999995</v>
      </c>
      <c r="U21" s="123">
        <f t="shared" si="14"/>
        <v>-1709.5266955000006</v>
      </c>
      <c r="V21" s="24"/>
      <c r="W21" s="2">
        <f t="shared" ref="W21:AC21" si="16">SUM(W19:W20)</f>
        <v>0</v>
      </c>
      <c r="X21" s="23">
        <f t="shared" si="16"/>
        <v>0</v>
      </c>
      <c r="Y21" s="2">
        <f t="shared" si="16"/>
        <v>0</v>
      </c>
      <c r="Z21" s="2">
        <f t="shared" ref="Z21" si="17">SUM(Z19:Z20)</f>
        <v>0</v>
      </c>
      <c r="AA21" s="2">
        <f t="shared" si="16"/>
        <v>-3203.2</v>
      </c>
      <c r="AB21" s="123">
        <f t="shared" si="16"/>
        <v>-3203.2</v>
      </c>
      <c r="AC21" s="5">
        <f t="shared" si="16"/>
        <v>0</v>
      </c>
      <c r="AD21" s="2">
        <f>SUM(AD19:AD20)</f>
        <v>-4277.6766954999994</v>
      </c>
      <c r="AE21" s="5"/>
    </row>
    <row r="22" spans="1:31" ht="18.75">
      <c r="B22" s="7"/>
      <c r="C22" s="7"/>
      <c r="D22" s="7"/>
      <c r="E22" s="19"/>
      <c r="F22" s="19"/>
      <c r="I22" s="12"/>
      <c r="P22" s="21"/>
      <c r="R22" s="124"/>
      <c r="S22" s="124"/>
      <c r="T22" s="253"/>
      <c r="U22" s="253"/>
      <c r="W22" s="135" t="s">
        <v>94</v>
      </c>
      <c r="AB22" s="124"/>
      <c r="AD22" s="12"/>
      <c r="AE22" s="38"/>
    </row>
    <row r="23" spans="1:31">
      <c r="B23" s="7"/>
      <c r="C23" s="7"/>
      <c r="D23" s="7"/>
      <c r="E23" s="19"/>
      <c r="F23" s="19"/>
      <c r="I23" s="12"/>
      <c r="P23" s="21"/>
      <c r="R23" s="124"/>
      <c r="S23" s="124"/>
      <c r="T23" s="253"/>
      <c r="U23" s="253"/>
      <c r="AB23" s="124"/>
      <c r="AD23" s="12"/>
      <c r="AE23" s="38"/>
    </row>
    <row r="24" spans="1:31">
      <c r="A24" t="s">
        <v>7</v>
      </c>
      <c r="B24" s="7"/>
      <c r="D24" s="7"/>
      <c r="E24" s="19"/>
      <c r="F24" s="19"/>
      <c r="I24" s="12"/>
      <c r="P24" s="21"/>
      <c r="R24" s="124"/>
      <c r="S24" s="124"/>
      <c r="T24" s="253"/>
      <c r="U24" s="253"/>
      <c r="AB24" s="124"/>
      <c r="AD24" s="12"/>
      <c r="AE24" s="38"/>
    </row>
    <row r="25" spans="1:31">
      <c r="A25" s="11" t="s">
        <v>34</v>
      </c>
      <c r="B25" s="39">
        <v>106756</v>
      </c>
      <c r="C25" s="39">
        <v>100295</v>
      </c>
      <c r="D25" s="19">
        <f>B25-C25</f>
        <v>6461</v>
      </c>
      <c r="E25" s="19"/>
      <c r="F25" s="19">
        <f>SUM(D25,E25)</f>
        <v>6461</v>
      </c>
      <c r="H25" s="12">
        <f>C25</f>
        <v>100295</v>
      </c>
      <c r="I25" s="12">
        <f>F25</f>
        <v>6461</v>
      </c>
      <c r="J25" s="12">
        <f>SUM(H25:I25)</f>
        <v>106756</v>
      </c>
      <c r="L25" s="7"/>
      <c r="N25" s="7">
        <f>'E-CAP14, G-CAP14'!Z31</f>
        <v>-1379</v>
      </c>
      <c r="O25" s="7">
        <f>('E-CAP14, G-CAP14'!C29+'E-CAP14, G-CAP14'!C30)</f>
        <v>4105.6943192372837</v>
      </c>
      <c r="P25" s="19">
        <f>SUM(L25:O25)</f>
        <v>2726.6943192372837</v>
      </c>
      <c r="Q25" s="24"/>
      <c r="R25" s="119">
        <f>P25+F25</f>
        <v>9187.6943192372837</v>
      </c>
      <c r="S25" s="119">
        <f>'Recreate DR 131 Att. D Pg 7'!B25</f>
        <v>106535</v>
      </c>
      <c r="T25" s="250">
        <f>S25-109483</f>
        <v>-2948</v>
      </c>
      <c r="U25" s="250">
        <f>R25+T25</f>
        <v>6239.6943192372837</v>
      </c>
      <c r="V25" s="24"/>
      <c r="Y25" s="7"/>
      <c r="Z25" s="7">
        <f>'E-CAP15, G-CAP-15'!W33</f>
        <v>0</v>
      </c>
      <c r="AA25" s="7">
        <f>('E-CAP15, G-CAP-15'!C33)</f>
        <v>49992.067118272025</v>
      </c>
      <c r="AB25" s="119">
        <f>SUM(W25:AA25)</f>
        <v>49992.067118272025</v>
      </c>
      <c r="AD25" s="12">
        <f>SUM(J25,P25,AB25)</f>
        <v>159474.76143750933</v>
      </c>
      <c r="AE25" s="38"/>
    </row>
    <row r="26" spans="1:31">
      <c r="A26" s="11" t="s">
        <v>35</v>
      </c>
      <c r="B26" s="41">
        <f>B63</f>
        <v>756526</v>
      </c>
      <c r="C26" s="41">
        <f>C63</f>
        <v>747839</v>
      </c>
      <c r="D26" s="19">
        <f>B26-C26</f>
        <v>8687</v>
      </c>
      <c r="E26" s="19"/>
      <c r="F26" s="19">
        <f>SUM(D26,E26)</f>
        <v>8687</v>
      </c>
      <c r="H26" s="12">
        <f>C26</f>
        <v>747839</v>
      </c>
      <c r="I26" s="12">
        <f>F26</f>
        <v>8687</v>
      </c>
      <c r="J26" s="12">
        <f t="shared" ref="J26:J45" si="18">SUM(H26:I26)</f>
        <v>756526</v>
      </c>
      <c r="L26" s="7">
        <f>-(576-21-141)/4</f>
        <v>-103.5</v>
      </c>
      <c r="N26" s="7">
        <f>'E-CAP14, G-CAP14'!Z16</f>
        <v>-614</v>
      </c>
      <c r="O26" s="7">
        <f>O63</f>
        <v>13144.982657100001</v>
      </c>
      <c r="P26" s="19">
        <f>SUM(L26:O26)</f>
        <v>12427.482657100001</v>
      </c>
      <c r="Q26" s="24"/>
      <c r="R26" s="119">
        <f t="shared" ref="R26:R29" si="19">P26+F26</f>
        <v>21114.482657100001</v>
      </c>
      <c r="S26" s="119">
        <f>'Recreate DR 131 Att. D Pg 7'!B26</f>
        <v>757122</v>
      </c>
      <c r="T26" s="250">
        <f>S26-768953</f>
        <v>-11831</v>
      </c>
      <c r="U26" s="250">
        <f t="shared" ref="U26:U29" si="20">R26+T26</f>
        <v>9283.4826571000012</v>
      </c>
      <c r="V26" s="24"/>
      <c r="W26" s="7">
        <f>-576-21-141</f>
        <v>-738</v>
      </c>
      <c r="Y26" s="7"/>
      <c r="Z26" s="7">
        <f>'E-CAP15, G-CAP-15'!W16</f>
        <v>0</v>
      </c>
      <c r="AA26" s="7">
        <f>AA63</f>
        <v>11884.948</v>
      </c>
      <c r="AB26" s="119">
        <f>SUM(W26:AA26)</f>
        <v>11146.948</v>
      </c>
      <c r="AD26" s="12">
        <f>SUM(J26,P26,AB26)</f>
        <v>780100.43065709993</v>
      </c>
      <c r="AE26" s="38"/>
    </row>
    <row r="27" spans="1:31">
      <c r="A27" s="11" t="s">
        <v>20</v>
      </c>
      <c r="B27" s="39">
        <v>377599</v>
      </c>
      <c r="C27" s="39">
        <v>370703</v>
      </c>
      <c r="D27" s="19">
        <f>B27-C27</f>
        <v>6896</v>
      </c>
      <c r="E27" s="19"/>
      <c r="F27" s="19">
        <f>SUM(D27,E27)</f>
        <v>6896</v>
      </c>
      <c r="H27" s="12">
        <f>C27</f>
        <v>370703</v>
      </c>
      <c r="I27" s="12">
        <f>F27</f>
        <v>6896</v>
      </c>
      <c r="J27" s="12">
        <f>SUM(H27:I27)</f>
        <v>377599</v>
      </c>
      <c r="N27" s="7">
        <f>'E-CAP14, G-CAP14'!Z18</f>
        <v>-1643</v>
      </c>
      <c r="O27" s="7">
        <f>'E-CAP14, G-CAP14'!C18</f>
        <v>16835.809032600002</v>
      </c>
      <c r="P27" s="19">
        <f>SUM(L27:O27)</f>
        <v>15192.809032600002</v>
      </c>
      <c r="Q27" s="24"/>
      <c r="R27" s="119">
        <f t="shared" si="19"/>
        <v>22088.809032600002</v>
      </c>
      <c r="S27" s="119">
        <f>'Recreate DR 131 Att. D Pg 7'!B27</f>
        <v>390213</v>
      </c>
      <c r="T27" s="250">
        <f>S27-392792</f>
        <v>-2579</v>
      </c>
      <c r="U27" s="250">
        <f t="shared" si="20"/>
        <v>19509.809032600002</v>
      </c>
      <c r="V27" s="24"/>
      <c r="Y27" s="7"/>
      <c r="Z27" s="7">
        <f>'E-CAP15, G-CAP-15'!W18</f>
        <v>0</v>
      </c>
      <c r="AA27" s="7">
        <f>'E-CAP15, G-CAP-15'!C18</f>
        <v>0</v>
      </c>
      <c r="AB27" s="119">
        <f>SUM(W27:AA27)</f>
        <v>0</v>
      </c>
      <c r="AD27" s="12">
        <f>SUM(J27,P27,AB27)</f>
        <v>392791.80903260002</v>
      </c>
      <c r="AE27" s="38"/>
    </row>
    <row r="28" spans="1:31">
      <c r="A28" s="11" t="s">
        <v>11</v>
      </c>
      <c r="B28" s="39">
        <v>857156</v>
      </c>
      <c r="C28" s="39">
        <v>830629</v>
      </c>
      <c r="D28" s="19">
        <f>B28-C28</f>
        <v>26527</v>
      </c>
      <c r="E28" s="39">
        <f>-3348+2977-11116+1988</f>
        <v>-9499</v>
      </c>
      <c r="F28" s="19">
        <f>SUM(D28,E28)</f>
        <v>17028</v>
      </c>
      <c r="H28" s="12">
        <f>C28</f>
        <v>830629</v>
      </c>
      <c r="I28" s="12">
        <f>F28</f>
        <v>17028</v>
      </c>
      <c r="J28" s="12">
        <f>SUM(H28:I28)</f>
        <v>847657</v>
      </c>
      <c r="N28" s="7">
        <f>'E-CAP14, G-CAP14'!Z23</f>
        <v>-1179</v>
      </c>
      <c r="O28" s="19">
        <f>'E-CAP14, G-CAP14'!C23</f>
        <v>17535.539200293282</v>
      </c>
      <c r="P28" s="19">
        <f>SUM(L28:O28)</f>
        <v>16356.539200293282</v>
      </c>
      <c r="Q28" s="24"/>
      <c r="R28" s="119">
        <f t="shared" si="19"/>
        <v>33384.539200293279</v>
      </c>
      <c r="S28" s="119">
        <f>'Recreate DR 131 Att. D Pg 7'!B28+'Recreate DR 131 Att. D Pg 7'!E28</f>
        <v>860651</v>
      </c>
      <c r="T28" s="250">
        <f>S28-864014</f>
        <v>-3363</v>
      </c>
      <c r="U28" s="250">
        <f t="shared" si="20"/>
        <v>30021.539200293279</v>
      </c>
      <c r="V28" s="24"/>
      <c r="Y28" s="7"/>
      <c r="Z28" s="7">
        <f>'E-CAP15, G-CAP-15'!W23</f>
        <v>0</v>
      </c>
      <c r="AA28" s="7">
        <f>'E-CAP15, G-CAP-15'!C23</f>
        <v>5357.6769999999997</v>
      </c>
      <c r="AB28" s="119">
        <f>SUM(W28:AA28)</f>
        <v>5357.6769999999997</v>
      </c>
      <c r="AD28" s="12">
        <f>SUM(J28,P28,AB28)</f>
        <v>869371.21620029327</v>
      </c>
      <c r="AE28" s="38"/>
    </row>
    <row r="29" spans="1:31">
      <c r="A29" s="11" t="s">
        <v>36</v>
      </c>
      <c r="B29" s="39">
        <v>201664</v>
      </c>
      <c r="C29" s="39">
        <v>192845</v>
      </c>
      <c r="D29" s="19">
        <f>B29-C29</f>
        <v>8819</v>
      </c>
      <c r="E29" s="19"/>
      <c r="F29" s="19">
        <f>SUM(D29,E29)</f>
        <v>8819</v>
      </c>
      <c r="H29" s="12">
        <f>C29</f>
        <v>192845</v>
      </c>
      <c r="I29" s="12">
        <f>F29</f>
        <v>8819</v>
      </c>
      <c r="J29" s="12">
        <f t="shared" si="18"/>
        <v>201664</v>
      </c>
      <c r="N29" s="7">
        <f>'E-CAP14, G-CAP14'!Z27</f>
        <v>-4220</v>
      </c>
      <c r="O29" s="7">
        <f>'E-CAP14, G-CAP14'!C27</f>
        <v>4590.2015534889215</v>
      </c>
      <c r="P29" s="19">
        <f>SUM(L29:O29)</f>
        <v>370.20155348892149</v>
      </c>
      <c r="Q29" s="24"/>
      <c r="R29" s="119">
        <f t="shared" si="19"/>
        <v>9189.2015534889215</v>
      </c>
      <c r="S29" s="119">
        <f>'Recreate DR 131 Att. D Pg 7'!B29</f>
        <v>200196</v>
      </c>
      <c r="T29" s="250">
        <f>S29-202034</f>
        <v>-1838</v>
      </c>
      <c r="U29" s="119">
        <f t="shared" si="20"/>
        <v>7351.2015534889215</v>
      </c>
      <c r="V29" s="24"/>
      <c r="Y29" s="7"/>
      <c r="Z29" s="7">
        <f>'E-CAP15, G-CAP-15'!W27</f>
        <v>0</v>
      </c>
      <c r="AA29" s="7">
        <f>'E-CAP15, G-CAP-15'!C27</f>
        <v>1.4600397313196944</v>
      </c>
      <c r="AB29" s="119">
        <f>SUM(W29:AA29)</f>
        <v>1.4600397313196944</v>
      </c>
      <c r="AD29" s="12">
        <f>SUM(J29,P29,AB29)</f>
        <v>202035.66159322023</v>
      </c>
      <c r="AE29" s="38"/>
    </row>
    <row r="30" spans="1:31">
      <c r="A30" s="11" t="s">
        <v>37</v>
      </c>
      <c r="B30" s="20">
        <f>SUM(B25:B29)</f>
        <v>2299701</v>
      </c>
      <c r="C30" s="20">
        <f>SUM(C25:C29)</f>
        <v>2242311</v>
      </c>
      <c r="D30" s="20">
        <f>SUM(D25:D29)</f>
        <v>57390</v>
      </c>
      <c r="E30" s="20">
        <f t="shared" ref="E30:S30" si="21">SUM(E25:E29)</f>
        <v>-9499</v>
      </c>
      <c r="F30" s="20">
        <f t="shared" si="21"/>
        <v>47891</v>
      </c>
      <c r="G30" s="5">
        <f t="shared" si="21"/>
        <v>0</v>
      </c>
      <c r="H30" s="8">
        <f t="shared" si="21"/>
        <v>2242311</v>
      </c>
      <c r="I30" s="8">
        <f t="shared" si="21"/>
        <v>47891</v>
      </c>
      <c r="J30" s="8">
        <f t="shared" si="21"/>
        <v>2290202</v>
      </c>
      <c r="K30" s="5">
        <f t="shared" si="21"/>
        <v>0</v>
      </c>
      <c r="L30" s="8">
        <f t="shared" si="21"/>
        <v>-103.5</v>
      </c>
      <c r="M30" s="20">
        <f t="shared" si="21"/>
        <v>0</v>
      </c>
      <c r="N30" s="8">
        <f t="shared" si="21"/>
        <v>-9035</v>
      </c>
      <c r="O30" s="8">
        <f t="shared" si="21"/>
        <v>56212.226762719496</v>
      </c>
      <c r="P30" s="20">
        <f t="shared" si="21"/>
        <v>47073.726762719496</v>
      </c>
      <c r="Q30" s="24"/>
      <c r="R30" s="120">
        <f t="shared" si="21"/>
        <v>94964.726762719496</v>
      </c>
      <c r="S30" s="120">
        <f t="shared" si="21"/>
        <v>2314717</v>
      </c>
      <c r="T30" s="120">
        <f>SUM(T25:T29)</f>
        <v>-22559</v>
      </c>
      <c r="U30" s="120">
        <f>SUM(U25:U29)</f>
        <v>72405.726762719481</v>
      </c>
      <c r="V30" s="24"/>
      <c r="W30" s="8">
        <f t="shared" ref="W30:AD30" si="22">SUM(W25:W29)</f>
        <v>-738</v>
      </c>
      <c r="X30" s="20">
        <f t="shared" si="22"/>
        <v>0</v>
      </c>
      <c r="Y30" s="8">
        <f t="shared" si="22"/>
        <v>0</v>
      </c>
      <c r="Z30" s="8">
        <f t="shared" ref="Z30" si="23">SUM(Z25:Z29)</f>
        <v>0</v>
      </c>
      <c r="AA30" s="8">
        <f t="shared" si="22"/>
        <v>67236.152158003344</v>
      </c>
      <c r="AB30" s="120">
        <f t="shared" si="22"/>
        <v>66498.152158003344</v>
      </c>
      <c r="AC30" s="5">
        <f t="shared" si="22"/>
        <v>0</v>
      </c>
      <c r="AD30" s="8">
        <f t="shared" si="22"/>
        <v>2403773.8789207228</v>
      </c>
      <c r="AE30" s="5"/>
    </row>
    <row r="31" spans="1:31">
      <c r="A31" s="11"/>
      <c r="B31" s="127" t="s">
        <v>141</v>
      </c>
      <c r="C31" s="128" t="s">
        <v>142</v>
      </c>
      <c r="D31" s="129"/>
      <c r="E31" s="130" t="s">
        <v>91</v>
      </c>
      <c r="F31" s="24"/>
      <c r="G31" s="5"/>
      <c r="H31" s="5"/>
      <c r="I31" s="5"/>
      <c r="J31" s="5"/>
      <c r="K31" s="5"/>
      <c r="L31" s="128" t="s">
        <v>140</v>
      </c>
      <c r="M31" s="24"/>
      <c r="N31" s="128" t="s">
        <v>85</v>
      </c>
      <c r="O31" s="128" t="s">
        <v>85</v>
      </c>
      <c r="P31" s="24"/>
      <c r="Q31" s="24"/>
      <c r="R31" s="125"/>
      <c r="S31" s="125"/>
      <c r="T31" s="252"/>
      <c r="U31" s="252"/>
      <c r="V31" s="24"/>
      <c r="W31" s="128" t="s">
        <v>140</v>
      </c>
      <c r="X31" s="24"/>
      <c r="Y31" s="5"/>
      <c r="Z31" s="128" t="s">
        <v>86</v>
      </c>
      <c r="AA31" s="128" t="s">
        <v>86</v>
      </c>
      <c r="AB31" s="125"/>
      <c r="AC31" s="5"/>
      <c r="AD31" s="5"/>
      <c r="AE31" s="5"/>
    </row>
    <row r="32" spans="1:31">
      <c r="A32" t="s">
        <v>43</v>
      </c>
      <c r="B32" s="19"/>
      <c r="C32" s="19"/>
      <c r="D32" s="19"/>
      <c r="E32" s="19"/>
      <c r="F32" s="19"/>
      <c r="H32" s="12"/>
      <c r="I32" s="12"/>
      <c r="J32" s="12"/>
      <c r="P32" s="21"/>
      <c r="R32" s="124"/>
      <c r="S32" s="124"/>
      <c r="T32" s="253"/>
      <c r="U32" s="253"/>
      <c r="W32" s="21"/>
      <c r="Y32" s="21"/>
      <c r="Z32" s="21"/>
      <c r="AB32" s="124"/>
      <c r="AD32" s="12"/>
      <c r="AE32" s="38"/>
    </row>
    <row r="33" spans="1:31">
      <c r="A33" s="11" t="s">
        <v>34</v>
      </c>
      <c r="B33" s="39">
        <f>-5806-142-15883</f>
        <v>-21831</v>
      </c>
      <c r="C33" s="39">
        <f>-5451-129-13629</f>
        <v>-19209</v>
      </c>
      <c r="D33" s="19">
        <f>B33-C33</f>
        <v>-2622</v>
      </c>
      <c r="E33" s="19"/>
      <c r="F33" s="19">
        <f>SUM(D33,E33)</f>
        <v>-2622</v>
      </c>
      <c r="H33" s="12">
        <f>C33</f>
        <v>-19209</v>
      </c>
      <c r="I33" s="12">
        <f>F33</f>
        <v>-2622</v>
      </c>
      <c r="J33" s="12">
        <f t="shared" si="18"/>
        <v>-21831</v>
      </c>
      <c r="L33" s="19">
        <f>-B10/4</f>
        <v>-2096.5</v>
      </c>
      <c r="N33" s="22">
        <f>-N25</f>
        <v>1379</v>
      </c>
      <c r="O33" s="7">
        <f>-('E-CAP14, G-CAP14'!J29+'E-CAP14, G-CAP14'!J30)</f>
        <v>-71.556829142524435</v>
      </c>
      <c r="P33" s="19">
        <f>SUM(L33:O33)</f>
        <v>-789.05682914252441</v>
      </c>
      <c r="Q33" s="24"/>
      <c r="R33" s="119">
        <f>P33+F33</f>
        <v>-3411.0568291425243</v>
      </c>
      <c r="S33" s="119">
        <f>'Recreate DR 131 Att. D Pg 7'!B33</f>
        <v>-20367</v>
      </c>
      <c r="T33" s="250">
        <f>S33+22826</f>
        <v>2459</v>
      </c>
      <c r="U33" s="250">
        <f>R33+T33</f>
        <v>-952.05682914252429</v>
      </c>
      <c r="V33" s="24"/>
      <c r="W33" s="19"/>
      <c r="Y33" s="19"/>
      <c r="Z33" s="22">
        <f>-Z25</f>
        <v>0</v>
      </c>
      <c r="AA33" s="7">
        <f>-('E-CAP15, G-CAP-15'!J33)</f>
        <v>-3803.4412840156915</v>
      </c>
      <c r="AB33" s="119">
        <f>SUM(W33:AA33)</f>
        <v>-3803.4412840156915</v>
      </c>
      <c r="AD33" s="12">
        <f>SUM(J33,P33,AB33)</f>
        <v>-26423.498113158217</v>
      </c>
      <c r="AE33" s="38"/>
    </row>
    <row r="34" spans="1:31">
      <c r="A34" s="11" t="s">
        <v>35</v>
      </c>
      <c r="B34" s="19">
        <f>B69</f>
        <v>-332331</v>
      </c>
      <c r="C34" s="19">
        <f>C69</f>
        <v>-324667</v>
      </c>
      <c r="D34" s="19">
        <f>B34-C34</f>
        <v>-7664</v>
      </c>
      <c r="E34" s="19"/>
      <c r="F34" s="19">
        <f t="shared" ref="F34:F37" si="24">SUM(D34,E34)</f>
        <v>-7664</v>
      </c>
      <c r="H34" s="12">
        <f>C34</f>
        <v>-324667</v>
      </c>
      <c r="I34" s="12">
        <f>F34</f>
        <v>-7664</v>
      </c>
      <c r="J34" s="12">
        <f t="shared" si="18"/>
        <v>-332331</v>
      </c>
      <c r="L34" s="19">
        <f t="shared" ref="L34:L36" si="25">-B11/4</f>
        <v>-4160.5</v>
      </c>
      <c r="N34" s="22">
        <f t="shared" ref="N34:N37" si="26">-N26</f>
        <v>614</v>
      </c>
      <c r="O34" s="7">
        <f>O69</f>
        <v>-18.520321772585</v>
      </c>
      <c r="P34" s="19">
        <f>SUM(L34:O34)</f>
        <v>-3565.0203217725848</v>
      </c>
      <c r="Q34" s="24"/>
      <c r="R34" s="119">
        <f t="shared" ref="R34:R37" si="27">P34+F34</f>
        <v>-11229.020321772585</v>
      </c>
      <c r="S34" s="119">
        <f>'Recreate DR 131 Att. D Pg 7'!B34</f>
        <v>-330026</v>
      </c>
      <c r="T34" s="250">
        <f>S34+335896</f>
        <v>5870</v>
      </c>
      <c r="U34" s="250">
        <f t="shared" ref="U34:U37" si="28">R34+T34</f>
        <v>-5359.0203217725848</v>
      </c>
      <c r="V34" s="24"/>
      <c r="W34" s="19"/>
      <c r="Y34" s="19"/>
      <c r="Z34" s="22">
        <f t="shared" ref="Z34:Z37" si="29">-Z26</f>
        <v>0</v>
      </c>
      <c r="AA34" s="7">
        <f>AA69</f>
        <v>-145.24785082500006</v>
      </c>
      <c r="AB34" s="119">
        <f>SUM(W34:AA34)</f>
        <v>-145.24785082500006</v>
      </c>
      <c r="AD34" s="12">
        <f>SUM(J34,P34,AB34)</f>
        <v>-336041.26817259763</v>
      </c>
      <c r="AE34" s="38"/>
    </row>
    <row r="35" spans="1:31">
      <c r="A35" s="11" t="s">
        <v>20</v>
      </c>
      <c r="B35" s="39">
        <v>-125455</v>
      </c>
      <c r="C35" s="39">
        <v>-124279</v>
      </c>
      <c r="D35" s="19">
        <f>B35-C35</f>
        <v>-1176</v>
      </c>
      <c r="E35" s="19">
        <v>0</v>
      </c>
      <c r="F35" s="19">
        <f>SUM(D35,E35)</f>
        <v>-1176</v>
      </c>
      <c r="H35" s="12">
        <f>C35</f>
        <v>-124279</v>
      </c>
      <c r="I35" s="12">
        <f>F35</f>
        <v>-1176</v>
      </c>
      <c r="J35" s="12">
        <f t="shared" si="18"/>
        <v>-125455</v>
      </c>
      <c r="L35" s="19">
        <f t="shared" si="25"/>
        <v>-1705.25</v>
      </c>
      <c r="N35" s="22">
        <f t="shared" si="26"/>
        <v>1643</v>
      </c>
      <c r="O35" s="7">
        <f>-'E-CAP14, G-CAP14'!J18</f>
        <v>-22.117295506670004</v>
      </c>
      <c r="P35" s="19">
        <f>SUM(L35:O35)</f>
        <v>-84.367295506670004</v>
      </c>
      <c r="Q35" s="24"/>
      <c r="R35" s="119">
        <f t="shared" si="27"/>
        <v>-1260.36729550667</v>
      </c>
      <c r="S35" s="119">
        <f>'Recreate DR 131 Att. D Pg 7'!B35</f>
        <v>-124984</v>
      </c>
      <c r="T35" s="250">
        <f>S35+125539</f>
        <v>555</v>
      </c>
      <c r="U35" s="250">
        <f t="shared" si="28"/>
        <v>-705.36729550666996</v>
      </c>
      <c r="V35" s="24"/>
      <c r="W35" s="19"/>
      <c r="Y35" s="19"/>
      <c r="Z35" s="22">
        <f t="shared" si="29"/>
        <v>0</v>
      </c>
      <c r="AA35" s="7">
        <f>-'E-CAP15, G-CAP-15'!J18</f>
        <v>0</v>
      </c>
      <c r="AB35" s="119">
        <f>SUM(W35:AA35)</f>
        <v>0</v>
      </c>
      <c r="AD35" s="12">
        <f>SUM(J35,P35,AB35)</f>
        <v>-125539.36729550667</v>
      </c>
      <c r="AE35" s="38"/>
    </row>
    <row r="36" spans="1:31">
      <c r="A36" s="11" t="s">
        <v>11</v>
      </c>
      <c r="B36" s="39">
        <v>-257684</v>
      </c>
      <c r="C36" s="39">
        <v>-248229</v>
      </c>
      <c r="D36" s="19">
        <f>B36-C36</f>
        <v>-9455</v>
      </c>
      <c r="E36" s="19">
        <f>((156+85)/2)+(57/2)</f>
        <v>149</v>
      </c>
      <c r="F36" s="19">
        <f>SUM(D36,E36)</f>
        <v>-9306</v>
      </c>
      <c r="H36" s="12">
        <f>C36</f>
        <v>-248229</v>
      </c>
      <c r="I36" s="12">
        <f>F36</f>
        <v>-9306</v>
      </c>
      <c r="J36" s="12">
        <f t="shared" si="18"/>
        <v>-257535</v>
      </c>
      <c r="L36" s="19">
        <f t="shared" si="25"/>
        <v>-6025.25</v>
      </c>
      <c r="M36" s="39">
        <f>((95/4))+((317/4))</f>
        <v>103</v>
      </c>
      <c r="N36" s="22">
        <f t="shared" si="26"/>
        <v>1179</v>
      </c>
      <c r="O36" s="7">
        <f>-'E-CAP14, G-CAP14'!J23</f>
        <v>-48.825930518199613</v>
      </c>
      <c r="P36" s="19">
        <f>SUM(L36:O36)</f>
        <v>-4792.0759305182</v>
      </c>
      <c r="Q36" s="24"/>
      <c r="R36" s="119">
        <f t="shared" si="27"/>
        <v>-14098.0759305182</v>
      </c>
      <c r="S36" s="119">
        <f>'Recreate DR 131 Att. D Pg 7'!B36+'Recreate DR 131 Att. D Pg 7'!E36</f>
        <v>-262703</v>
      </c>
      <c r="T36" s="250">
        <f>S36+262327</f>
        <v>-376</v>
      </c>
      <c r="U36" s="250">
        <f t="shared" si="28"/>
        <v>-14474.0759305182</v>
      </c>
      <c r="V36" s="24"/>
      <c r="W36" s="19"/>
      <c r="X36" s="19"/>
      <c r="Y36" s="19"/>
      <c r="Z36" s="22">
        <f t="shared" si="29"/>
        <v>0</v>
      </c>
      <c r="AA36" s="7">
        <f>-'E-CAP15, G-CAP-15'!J23</f>
        <v>-114.07160918333332</v>
      </c>
      <c r="AB36" s="119">
        <f>SUM(W36:AA36)</f>
        <v>-114.07160918333332</v>
      </c>
      <c r="AD36" s="12">
        <f>SUM(J36,P36,AB36)</f>
        <v>-262441.14753970155</v>
      </c>
      <c r="AE36" s="38"/>
    </row>
    <row r="37" spans="1:31">
      <c r="A37" s="11" t="s">
        <v>36</v>
      </c>
      <c r="B37" s="39">
        <f>-68526-260-312</f>
        <v>-69098</v>
      </c>
      <c r="C37" s="39">
        <f>-63482-250-206</f>
        <v>-63938</v>
      </c>
      <c r="D37" s="19">
        <f>B37-C37</f>
        <v>-5160</v>
      </c>
      <c r="E37" s="19"/>
      <c r="F37" s="19">
        <f t="shared" si="24"/>
        <v>-5160</v>
      </c>
      <c r="H37" s="12">
        <f>C37</f>
        <v>-63938</v>
      </c>
      <c r="I37" s="12">
        <f>F37</f>
        <v>-5160</v>
      </c>
      <c r="J37" s="12">
        <f t="shared" si="18"/>
        <v>-69098</v>
      </c>
      <c r="L37" s="19">
        <f>(-B14-B17)/4</f>
        <v>-3010.5</v>
      </c>
      <c r="N37" s="22">
        <f t="shared" si="26"/>
        <v>4220</v>
      </c>
      <c r="O37" s="7">
        <f>-'E-CAP14, G-CAP14'!J27</f>
        <v>-16.906964469149447</v>
      </c>
      <c r="P37" s="19">
        <f>SUM(L37:O37)</f>
        <v>1192.5930355308506</v>
      </c>
      <c r="Q37" s="24"/>
      <c r="R37" s="119">
        <f t="shared" si="27"/>
        <v>-3967.4069644691494</v>
      </c>
      <c r="S37" s="119">
        <f>'Recreate DR 131 Att. D Pg 7'!B37</f>
        <v>-65940</v>
      </c>
      <c r="T37" s="250">
        <f>S37+67700</f>
        <v>1760</v>
      </c>
      <c r="U37" s="250">
        <f t="shared" si="28"/>
        <v>-2207.4069644691494</v>
      </c>
      <c r="V37" s="24"/>
      <c r="W37" s="19"/>
      <c r="Y37" s="19"/>
      <c r="Z37" s="22">
        <f t="shared" si="29"/>
        <v>0</v>
      </c>
      <c r="AA37" s="7">
        <f>-'E-CAP15, G-CAP-15'!J27</f>
        <v>-5.3309700689810342E-2</v>
      </c>
      <c r="AB37" s="119">
        <f>SUM(W37:AA37)</f>
        <v>-5.3309700689810342E-2</v>
      </c>
      <c r="AD37" s="12">
        <f>SUM(J37,P37,AB37)</f>
        <v>-67905.460274169833</v>
      </c>
      <c r="AE37" s="38"/>
    </row>
    <row r="38" spans="1:31">
      <c r="A38" s="11" t="s">
        <v>38</v>
      </c>
      <c r="B38" s="20">
        <f t="shared" ref="B38:S38" si="30">SUM(B33:B37)</f>
        <v>-806399</v>
      </c>
      <c r="C38" s="20">
        <f t="shared" si="30"/>
        <v>-780322</v>
      </c>
      <c r="D38" s="20">
        <f t="shared" si="30"/>
        <v>-26077</v>
      </c>
      <c r="E38" s="20">
        <f t="shared" si="30"/>
        <v>149</v>
      </c>
      <c r="F38" s="20">
        <f t="shared" si="30"/>
        <v>-25928</v>
      </c>
      <c r="G38" s="5">
        <f t="shared" si="30"/>
        <v>0</v>
      </c>
      <c r="H38" s="8">
        <f t="shared" si="30"/>
        <v>-780322</v>
      </c>
      <c r="I38" s="8">
        <f t="shared" si="30"/>
        <v>-25928</v>
      </c>
      <c r="J38" s="8">
        <f t="shared" si="30"/>
        <v>-806250</v>
      </c>
      <c r="K38" s="5">
        <f t="shared" si="30"/>
        <v>0</v>
      </c>
      <c r="L38" s="8">
        <f t="shared" si="30"/>
        <v>-16998</v>
      </c>
      <c r="M38" s="20">
        <f t="shared" si="30"/>
        <v>103</v>
      </c>
      <c r="N38" s="8">
        <f t="shared" si="30"/>
        <v>9035</v>
      </c>
      <c r="O38" s="8">
        <f t="shared" si="30"/>
        <v>-177.92734140912847</v>
      </c>
      <c r="P38" s="20">
        <f t="shared" si="30"/>
        <v>-8037.9273414091294</v>
      </c>
      <c r="Q38" s="24"/>
      <c r="R38" s="120">
        <f t="shared" si="30"/>
        <v>-33965.927341409129</v>
      </c>
      <c r="S38" s="120">
        <f t="shared" si="30"/>
        <v>-804020</v>
      </c>
      <c r="T38" s="120">
        <f>SUM(T33:T37)</f>
        <v>10268</v>
      </c>
      <c r="U38" s="120">
        <f>SUM(U33:U37)</f>
        <v>-23697.927341409129</v>
      </c>
      <c r="V38" s="24"/>
      <c r="W38" s="20">
        <f t="shared" ref="W38:AD38" si="31">SUM(W33:W37)</f>
        <v>0</v>
      </c>
      <c r="X38" s="20">
        <f t="shared" si="31"/>
        <v>0</v>
      </c>
      <c r="Y38" s="20">
        <f t="shared" si="31"/>
        <v>0</v>
      </c>
      <c r="Z38" s="20">
        <f t="shared" ref="Z38" si="32">SUM(Z33:Z37)</f>
        <v>0</v>
      </c>
      <c r="AA38" s="8">
        <f t="shared" si="31"/>
        <v>-4062.8140537247145</v>
      </c>
      <c r="AB38" s="120">
        <f>SUM(AB33:AB37)</f>
        <v>-4062.8140537247145</v>
      </c>
      <c r="AC38" s="5">
        <f t="shared" si="31"/>
        <v>0</v>
      </c>
      <c r="AD38" s="8">
        <f t="shared" si="31"/>
        <v>-818350.7413951339</v>
      </c>
      <c r="AE38" s="5"/>
    </row>
    <row r="39" spans="1:31">
      <c r="A39" s="11"/>
      <c r="B39" s="127" t="s">
        <v>141</v>
      </c>
      <c r="C39" s="127" t="s">
        <v>142</v>
      </c>
      <c r="D39" s="129"/>
      <c r="E39" s="130" t="s">
        <v>91</v>
      </c>
      <c r="F39" s="24"/>
      <c r="G39" s="5"/>
      <c r="H39" s="5"/>
      <c r="I39" s="5"/>
      <c r="J39" s="5"/>
      <c r="K39" s="5"/>
      <c r="L39" s="5"/>
      <c r="M39" s="130" t="s">
        <v>91</v>
      </c>
      <c r="N39" s="128" t="s">
        <v>85</v>
      </c>
      <c r="O39" s="128" t="s">
        <v>85</v>
      </c>
      <c r="P39" s="24"/>
      <c r="Q39" s="24"/>
      <c r="R39" s="125"/>
      <c r="S39" s="125"/>
      <c r="T39" s="252"/>
      <c r="U39" s="252"/>
      <c r="V39" s="24"/>
      <c r="W39" s="24"/>
      <c r="X39" s="130" t="s">
        <v>91</v>
      </c>
      <c r="Y39" s="24"/>
      <c r="Z39" s="128" t="s">
        <v>86</v>
      </c>
      <c r="AA39" s="128" t="s">
        <v>86</v>
      </c>
      <c r="AB39" s="125"/>
      <c r="AC39" s="5"/>
      <c r="AD39" s="5"/>
      <c r="AE39" s="5"/>
    </row>
    <row r="40" spans="1:31">
      <c r="A40" t="s">
        <v>44</v>
      </c>
      <c r="B40" s="19"/>
      <c r="C40" s="19"/>
      <c r="D40" s="19"/>
      <c r="E40" s="19"/>
      <c r="F40" s="19"/>
      <c r="H40" s="12"/>
      <c r="I40" s="12"/>
      <c r="J40" s="12"/>
      <c r="L40" s="21"/>
      <c r="P40" s="21"/>
      <c r="R40" s="124"/>
      <c r="S40" s="124"/>
      <c r="T40" s="253"/>
      <c r="U40" s="253"/>
      <c r="W40" s="21"/>
      <c r="Y40" s="21"/>
      <c r="Z40" s="21"/>
      <c r="AB40" s="124"/>
      <c r="AD40" s="12"/>
      <c r="AE40" s="38"/>
    </row>
    <row r="41" spans="1:31">
      <c r="A41" s="11" t="s">
        <v>34</v>
      </c>
      <c r="B41" s="39">
        <v>-7450</v>
      </c>
      <c r="C41" s="39">
        <v>-5076</v>
      </c>
      <c r="D41" s="19">
        <f>B41-C41</f>
        <v>-2374</v>
      </c>
      <c r="E41" s="19"/>
      <c r="F41" s="19">
        <f>SUM(D41,E41)</f>
        <v>-2374</v>
      </c>
      <c r="H41" s="12">
        <f>C41</f>
        <v>-5076</v>
      </c>
      <c r="I41" s="12">
        <f>F41</f>
        <v>-2374</v>
      </c>
      <c r="J41" s="12">
        <f t="shared" si="18"/>
        <v>-7450</v>
      </c>
      <c r="L41" s="155">
        <v>117</v>
      </c>
      <c r="O41" s="19"/>
      <c r="P41" s="19">
        <f>SUM(L41:O41)</f>
        <v>117</v>
      </c>
      <c r="Q41" s="24"/>
      <c r="R41" s="119">
        <f>P41+F41</f>
        <v>-2257</v>
      </c>
      <c r="S41" s="119">
        <f>'Recreate DR 131 Att. D Pg 7'!B41</f>
        <v>-4663</v>
      </c>
      <c r="T41" s="250">
        <f>S41+(270286*(S41/$S$46))</f>
        <v>-426.03815587768622</v>
      </c>
      <c r="U41" s="250">
        <f t="shared" ref="U41:U45" si="33">R41+T41</f>
        <v>-2683.0381558776862</v>
      </c>
      <c r="V41" s="24"/>
      <c r="W41" s="22"/>
      <c r="Y41" s="19"/>
      <c r="Z41" s="19"/>
      <c r="AA41" s="7">
        <f>('E-CAP15, G-CAP-15'!S33)</f>
        <v>-4205</v>
      </c>
      <c r="AB41" s="119">
        <f>SUM(W41:AA41)</f>
        <v>-4205</v>
      </c>
      <c r="AD41" s="12">
        <f>SUM(J41,P41,AB41)</f>
        <v>-11538</v>
      </c>
      <c r="AE41" s="38"/>
    </row>
    <row r="42" spans="1:31">
      <c r="A42" s="11" t="s">
        <v>35</v>
      </c>
      <c r="B42" s="39">
        <v>-88472</v>
      </c>
      <c r="C42" s="39">
        <v>-85133</v>
      </c>
      <c r="D42" s="19">
        <f>B42-C42</f>
        <v>-3339</v>
      </c>
      <c r="E42" s="19"/>
      <c r="F42" s="19">
        <f t="shared" ref="F42:F45" si="34">SUM(D42,E42)</f>
        <v>-3339</v>
      </c>
      <c r="H42" s="12">
        <f>C42</f>
        <v>-85133</v>
      </c>
      <c r="I42" s="12">
        <f>F42</f>
        <v>-3339</v>
      </c>
      <c r="J42" s="12">
        <f t="shared" si="18"/>
        <v>-88472</v>
      </c>
      <c r="L42" s="155">
        <v>-841</v>
      </c>
      <c r="O42" s="19"/>
      <c r="P42" s="19">
        <f>SUM(L42:O42)</f>
        <v>-841</v>
      </c>
      <c r="Q42" s="24"/>
      <c r="R42" s="119">
        <f t="shared" ref="R42:R45" si="35">P42+F42</f>
        <v>-4180</v>
      </c>
      <c r="S42" s="119">
        <f>'Recreate DR 131 Att. D Pg 7'!B42</f>
        <v>-105797</v>
      </c>
      <c r="T42" s="250">
        <f t="shared" ref="T42:T45" si="36">S42+(270286*(S42/$S$46))</f>
        <v>-9666.2146209289203</v>
      </c>
      <c r="U42" s="250">
        <f t="shared" si="33"/>
        <v>-13846.21462092892</v>
      </c>
      <c r="V42" s="24"/>
      <c r="W42" s="22"/>
      <c r="Y42" s="19"/>
      <c r="Z42" s="19"/>
      <c r="AA42" s="7">
        <f>'E-CAP15, G-CAP-15'!S16</f>
        <v>-105</v>
      </c>
      <c r="AB42" s="119">
        <f>SUM(W42:AA42)</f>
        <v>-105</v>
      </c>
      <c r="AD42" s="12">
        <f>SUM(J42,P42,AB42)</f>
        <v>-89418</v>
      </c>
      <c r="AE42" s="38"/>
    </row>
    <row r="43" spans="1:31">
      <c r="A43" s="11" t="s">
        <v>20</v>
      </c>
      <c r="B43" s="39">
        <v>-38325</v>
      </c>
      <c r="C43" s="39">
        <v>-36506</v>
      </c>
      <c r="D43" s="19">
        <f>B43-C43</f>
        <v>-1819</v>
      </c>
      <c r="E43" s="19"/>
      <c r="F43" s="19">
        <f t="shared" si="34"/>
        <v>-1819</v>
      </c>
      <c r="H43" s="12">
        <f>C43</f>
        <v>-36506</v>
      </c>
      <c r="I43" s="12">
        <f>F43</f>
        <v>-1819</v>
      </c>
      <c r="J43" s="12">
        <f t="shared" si="18"/>
        <v>-38325</v>
      </c>
      <c r="L43" s="155">
        <v>-430</v>
      </c>
      <c r="O43" s="19"/>
      <c r="P43" s="19">
        <f>SUM(L43:O43)</f>
        <v>-430</v>
      </c>
      <c r="Q43" s="24"/>
      <c r="R43" s="119">
        <f t="shared" si="35"/>
        <v>-2249</v>
      </c>
      <c r="S43" s="119">
        <f>'Recreate DR 131 Att. D Pg 7'!B43</f>
        <v>-46595</v>
      </c>
      <c r="T43" s="250">
        <f t="shared" si="36"/>
        <v>-4257.1837600516374</v>
      </c>
      <c r="U43" s="250">
        <f t="shared" si="33"/>
        <v>-6506.1837600516374</v>
      </c>
      <c r="V43" s="24"/>
      <c r="W43" s="22"/>
      <c r="Y43" s="19"/>
      <c r="Z43" s="19"/>
      <c r="AA43" s="7">
        <f>'E-CAP15, G-CAP-15'!S18</f>
        <v>0</v>
      </c>
      <c r="AB43" s="119">
        <f>SUM(W43:AA43)</f>
        <v>0</v>
      </c>
      <c r="AD43" s="12">
        <f>SUM(J43,P43,AB43)</f>
        <v>-38755</v>
      </c>
      <c r="AE43" s="38"/>
    </row>
    <row r="44" spans="1:31">
      <c r="A44" s="11" t="s">
        <v>11</v>
      </c>
      <c r="B44" s="39">
        <v>-88538</v>
      </c>
      <c r="C44" s="39">
        <v>-83186</v>
      </c>
      <c r="D44" s="19">
        <f>B44-C44</f>
        <v>-5352</v>
      </c>
      <c r="E44" s="39">
        <f>((14+53)/2)+(95/2)</f>
        <v>81</v>
      </c>
      <c r="F44" s="19">
        <f t="shared" si="34"/>
        <v>-5271</v>
      </c>
      <c r="H44" s="12">
        <f>C44</f>
        <v>-83186</v>
      </c>
      <c r="I44" s="12">
        <f>F44</f>
        <v>-5271</v>
      </c>
      <c r="J44" s="12">
        <f t="shared" si="18"/>
        <v>-88457</v>
      </c>
      <c r="L44" s="155">
        <v>-994</v>
      </c>
      <c r="M44" s="39">
        <f>85+13</f>
        <v>98</v>
      </c>
      <c r="N44" s="39"/>
      <c r="O44" s="19"/>
      <c r="P44" s="19">
        <f>SUM(L44:O44)</f>
        <v>-896</v>
      </c>
      <c r="Q44" s="24"/>
      <c r="R44" s="119">
        <f>P44+F44</f>
        <v>-6167</v>
      </c>
      <c r="S44" s="119">
        <f>'Recreate DR 131 Att. D Pg 7'!B44+'Recreate DR 131 Att. D Pg 7'!E44</f>
        <v>-107348</v>
      </c>
      <c r="T44" s="250">
        <f t="shared" si="36"/>
        <v>-9807.9227872952761</v>
      </c>
      <c r="U44" s="250">
        <f t="shared" si="33"/>
        <v>-15974.922787295276</v>
      </c>
      <c r="V44" s="24"/>
      <c r="W44" s="22"/>
      <c r="X44" s="19"/>
      <c r="Y44" s="19"/>
      <c r="Z44" s="19"/>
      <c r="AA44" s="7">
        <f>'E-CAP15, G-CAP-15'!S23</f>
        <v>-30</v>
      </c>
      <c r="AB44" s="119">
        <f>SUM(W44:AA44)</f>
        <v>-30</v>
      </c>
      <c r="AD44" s="12">
        <f>SUM(J44,P44,AB44)</f>
        <v>-89383</v>
      </c>
      <c r="AE44" s="38"/>
    </row>
    <row r="45" spans="1:31">
      <c r="A45" s="11" t="s">
        <v>36</v>
      </c>
      <c r="B45" s="39">
        <v>-46120</v>
      </c>
      <c r="C45" s="39">
        <v>-34485</v>
      </c>
      <c r="D45" s="19">
        <f>B45-C45</f>
        <v>-11635</v>
      </c>
      <c r="E45" s="19"/>
      <c r="F45" s="19">
        <f t="shared" si="34"/>
        <v>-11635</v>
      </c>
      <c r="H45" s="12">
        <f>C45</f>
        <v>-34485</v>
      </c>
      <c r="I45" s="12">
        <f>F45</f>
        <v>-11635</v>
      </c>
      <c r="J45" s="12">
        <f t="shared" si="18"/>
        <v>-46120</v>
      </c>
      <c r="L45" s="155">
        <v>587</v>
      </c>
      <c r="O45" s="19"/>
      <c r="P45" s="19">
        <f>SUM(L45:O45)</f>
        <v>587</v>
      </c>
      <c r="Q45" s="24"/>
      <c r="R45" s="119">
        <f t="shared" si="35"/>
        <v>-11048</v>
      </c>
      <c r="S45" s="119">
        <f>'Recreate DR 131 Att. D Pg 7'!B45</f>
        <v>-33061</v>
      </c>
      <c r="T45" s="250">
        <f t="shared" si="36"/>
        <v>-3020.6406758464873</v>
      </c>
      <c r="U45" s="250">
        <f t="shared" si="33"/>
        <v>-14068.640675846487</v>
      </c>
      <c r="V45" s="24"/>
      <c r="W45" s="22"/>
      <c r="Y45" s="19"/>
      <c r="Z45" s="19"/>
      <c r="AA45" s="7">
        <f>'E-CAP15, G-CAP-15'!S27</f>
        <v>0</v>
      </c>
      <c r="AB45" s="119">
        <f>SUM(W45:AA45)</f>
        <v>0</v>
      </c>
      <c r="AD45" s="12">
        <f>SUM(J45,P45,AB45)</f>
        <v>-45533</v>
      </c>
      <c r="AE45" s="38"/>
    </row>
    <row r="46" spans="1:31">
      <c r="A46" s="11" t="s">
        <v>42</v>
      </c>
      <c r="B46" s="20">
        <f t="shared" ref="B46:S46" si="37">SUM(B41:B45)</f>
        <v>-268905</v>
      </c>
      <c r="C46" s="20">
        <f t="shared" si="37"/>
        <v>-244386</v>
      </c>
      <c r="D46" s="20">
        <f t="shared" si="37"/>
        <v>-24519</v>
      </c>
      <c r="E46" s="20">
        <f t="shared" si="37"/>
        <v>81</v>
      </c>
      <c r="F46" s="20">
        <f t="shared" si="37"/>
        <v>-24438</v>
      </c>
      <c r="G46" s="5">
        <f t="shared" si="37"/>
        <v>0</v>
      </c>
      <c r="H46" s="8">
        <f t="shared" si="37"/>
        <v>-244386</v>
      </c>
      <c r="I46" s="8">
        <f t="shared" si="37"/>
        <v>-24438</v>
      </c>
      <c r="J46" s="8">
        <f t="shared" si="37"/>
        <v>-268824</v>
      </c>
      <c r="K46" s="5">
        <f t="shared" si="37"/>
        <v>0</v>
      </c>
      <c r="L46" s="20">
        <f>SUM(L41:L45)</f>
        <v>-1561</v>
      </c>
      <c r="M46" s="20">
        <f t="shared" si="37"/>
        <v>98</v>
      </c>
      <c r="N46" s="20">
        <f t="shared" ref="N46" si="38">SUM(N41:N45)</f>
        <v>0</v>
      </c>
      <c r="O46" s="8">
        <f t="shared" si="37"/>
        <v>0</v>
      </c>
      <c r="P46" s="20">
        <f t="shared" si="37"/>
        <v>-1463</v>
      </c>
      <c r="Q46" s="24"/>
      <c r="R46" s="120">
        <f t="shared" si="37"/>
        <v>-25901</v>
      </c>
      <c r="S46" s="120">
        <f t="shared" si="37"/>
        <v>-297464</v>
      </c>
      <c r="T46" s="120">
        <f>SUM(T41:T45)</f>
        <v>-27178.000000000007</v>
      </c>
      <c r="U46" s="120">
        <f>SUM(U41:U45)</f>
        <v>-53079.000000000007</v>
      </c>
      <c r="V46" s="24"/>
      <c r="W46" s="20">
        <f t="shared" ref="W46:AB46" si="39">SUM(W41:W45)</f>
        <v>0</v>
      </c>
      <c r="X46" s="20">
        <f t="shared" si="39"/>
        <v>0</v>
      </c>
      <c r="Y46" s="20">
        <f t="shared" si="39"/>
        <v>0</v>
      </c>
      <c r="Z46" s="20">
        <f t="shared" si="39"/>
        <v>0</v>
      </c>
      <c r="AA46" s="8">
        <f t="shared" si="39"/>
        <v>-4340</v>
      </c>
      <c r="AB46" s="120">
        <f t="shared" si="39"/>
        <v>-4340</v>
      </c>
      <c r="AC46" s="5">
        <f t="shared" ref="AC46:AD46" si="40">SUM(AC41:AC45)</f>
        <v>0</v>
      </c>
      <c r="AD46" s="8">
        <f t="shared" si="40"/>
        <v>-274627</v>
      </c>
      <c r="AE46" s="5"/>
    </row>
    <row r="47" spans="1:31">
      <c r="A47" s="11"/>
      <c r="B47" s="132" t="s">
        <v>111</v>
      </c>
      <c r="C47" s="132" t="s">
        <v>111</v>
      </c>
      <c r="D47" s="133"/>
      <c r="E47" s="130" t="s">
        <v>91</v>
      </c>
      <c r="F47" s="45"/>
      <c r="G47" s="5"/>
      <c r="H47" s="31"/>
      <c r="I47" s="31"/>
      <c r="J47" s="31"/>
      <c r="K47" s="5"/>
      <c r="L47" s="45"/>
      <c r="M47" s="130" t="s">
        <v>91</v>
      </c>
      <c r="N47" s="130"/>
      <c r="O47" s="128" t="s">
        <v>85</v>
      </c>
      <c r="P47" s="45"/>
      <c r="Q47" s="24"/>
      <c r="R47" s="131"/>
      <c r="S47" s="125"/>
      <c r="T47" s="252"/>
      <c r="U47" s="252"/>
      <c r="V47" s="24"/>
      <c r="W47" s="45"/>
      <c r="X47" s="130" t="s">
        <v>91</v>
      </c>
      <c r="Y47" s="45"/>
      <c r="Z47" s="128" t="s">
        <v>86</v>
      </c>
      <c r="AA47" s="128" t="s">
        <v>86</v>
      </c>
      <c r="AB47" s="131"/>
      <c r="AC47" s="5"/>
      <c r="AD47" s="31"/>
      <c r="AE47" s="5"/>
    </row>
    <row r="48" spans="1:31" ht="13.5" thickBot="1">
      <c r="A48" t="s">
        <v>6</v>
      </c>
      <c r="B48" s="23">
        <f t="shared" ref="B48:E48" si="41">B30+B38+B46</f>
        <v>1224397</v>
      </c>
      <c r="C48" s="23">
        <f t="shared" si="41"/>
        <v>1217603</v>
      </c>
      <c r="D48" s="23">
        <f t="shared" si="41"/>
        <v>6794</v>
      </c>
      <c r="E48" s="23">
        <f t="shared" si="41"/>
        <v>-9269</v>
      </c>
      <c r="F48" s="23">
        <f>F30+F38+F46</f>
        <v>-2475</v>
      </c>
      <c r="G48" s="5"/>
      <c r="H48" s="23">
        <f>H30+H38+H46</f>
        <v>1217603</v>
      </c>
      <c r="I48" s="23">
        <f>I30+I38+I46</f>
        <v>-2475</v>
      </c>
      <c r="J48" s="23">
        <f>J30+J38+J46</f>
        <v>1215128</v>
      </c>
      <c r="K48" s="5"/>
      <c r="L48" s="23">
        <f>L30+L38+L46</f>
        <v>-18662.5</v>
      </c>
      <c r="M48" s="23">
        <f>M30+M38+M46</f>
        <v>201</v>
      </c>
      <c r="N48" s="23">
        <f>N30+N38+N46</f>
        <v>0</v>
      </c>
      <c r="O48" s="23">
        <f>O30+O38+O46</f>
        <v>56034.299421310367</v>
      </c>
      <c r="P48" s="23">
        <f>P30+P38+P46</f>
        <v>37572.799421310367</v>
      </c>
      <c r="Q48" s="24"/>
      <c r="R48" s="123">
        <f>R30+R38+R46</f>
        <v>35097.799421310367</v>
      </c>
      <c r="S48" s="123">
        <f>S30+S38+S46</f>
        <v>1213233</v>
      </c>
      <c r="T48" s="123">
        <f>T30+T38+T46</f>
        <v>-39469.000000000007</v>
      </c>
      <c r="U48" s="123">
        <f>U30+U38+U46</f>
        <v>-4371.2005786896552</v>
      </c>
      <c r="V48" s="24"/>
      <c r="W48" s="23">
        <f t="shared" ref="W48:AB48" si="42">W30+W38+W46</f>
        <v>-738</v>
      </c>
      <c r="X48" s="23">
        <f t="shared" si="42"/>
        <v>0</v>
      </c>
      <c r="Y48" s="23">
        <f t="shared" si="42"/>
        <v>0</v>
      </c>
      <c r="Z48" s="23">
        <f t="shared" si="42"/>
        <v>0</v>
      </c>
      <c r="AA48" s="23">
        <f t="shared" si="42"/>
        <v>58833.338104278628</v>
      </c>
      <c r="AB48" s="123">
        <f t="shared" si="42"/>
        <v>58095.338104278628</v>
      </c>
      <c r="AC48" s="5"/>
      <c r="AD48" s="23">
        <f>AD30+AD38+AD46</f>
        <v>1310796.1375255887</v>
      </c>
      <c r="AE48" s="5"/>
    </row>
    <row r="49" spans="1:31">
      <c r="C49" s="104" t="s">
        <v>87</v>
      </c>
      <c r="L49" s="21"/>
      <c r="P49" s="12"/>
      <c r="W49" s="21"/>
    </row>
    <row r="50" spans="1:31" ht="39" customHeight="1">
      <c r="A50" s="256" t="s">
        <v>110</v>
      </c>
      <c r="B50" s="256"/>
      <c r="C50" s="256"/>
      <c r="D50" s="256"/>
      <c r="E50" s="256"/>
      <c r="F50" s="256"/>
      <c r="L50" t="s">
        <v>139</v>
      </c>
    </row>
    <row r="51" spans="1:31">
      <c r="B51" s="1"/>
      <c r="C51" s="1"/>
      <c r="D51" s="1"/>
      <c r="E51" s="17"/>
      <c r="F51" s="1"/>
    </row>
    <row r="52" spans="1:31">
      <c r="A52" s="30" t="s">
        <v>55</v>
      </c>
      <c r="B52" s="5"/>
      <c r="C52" s="5"/>
      <c r="D52" s="5"/>
      <c r="E52" s="24"/>
      <c r="F52" s="5"/>
    </row>
    <row r="53" spans="1:31">
      <c r="A53" s="27" t="s">
        <v>56</v>
      </c>
      <c r="B53" s="5"/>
      <c r="C53" s="24"/>
      <c r="D53" s="24"/>
      <c r="E53" s="24"/>
      <c r="F53" s="5"/>
      <c r="AD53" s="21"/>
      <c r="AE53" s="17"/>
    </row>
    <row r="54" spans="1:31">
      <c r="A54" s="27" t="s">
        <v>52</v>
      </c>
      <c r="B54" s="24">
        <f>C54+74</f>
        <v>5129</v>
      </c>
      <c r="C54" s="42">
        <v>5055</v>
      </c>
      <c r="D54" s="5">
        <f t="shared" ref="D54:D56" si="43">B54-C54</f>
        <v>74</v>
      </c>
      <c r="E54" s="99"/>
      <c r="F54" s="19">
        <f>SUM(D54,E54)</f>
        <v>74</v>
      </c>
      <c r="O54" s="7">
        <f>'E-CAP14, G-CAP14'!G13</f>
        <v>31</v>
      </c>
      <c r="P54" s="12">
        <f>O54</f>
        <v>31</v>
      </c>
      <c r="W54" s="22"/>
      <c r="AA54" s="7">
        <f>'E-CAP15, G-CAP-15'!G13</f>
        <v>0</v>
      </c>
      <c r="AB54" s="12">
        <f>SUM(W54:AA54)</f>
        <v>0</v>
      </c>
      <c r="AD54" s="21"/>
      <c r="AE54" s="17"/>
    </row>
    <row r="55" spans="1:31">
      <c r="A55" s="29" t="s">
        <v>53</v>
      </c>
      <c r="B55" s="24">
        <f>C55+86</f>
        <v>5417</v>
      </c>
      <c r="C55" s="42">
        <v>5331</v>
      </c>
      <c r="D55" s="5">
        <f t="shared" si="43"/>
        <v>86</v>
      </c>
      <c r="E55" s="99"/>
      <c r="F55" s="19">
        <f t="shared" ref="F55:F56" si="44">SUM(D55,E55)</f>
        <v>86</v>
      </c>
      <c r="O55" s="7">
        <f>'E-CAP14, G-CAP14'!G14</f>
        <v>213</v>
      </c>
      <c r="P55" s="12">
        <f>O55</f>
        <v>213</v>
      </c>
      <c r="W55" s="22"/>
      <c r="AA55" s="7">
        <f>'E-CAP15, G-CAP-15'!G14</f>
        <v>222</v>
      </c>
      <c r="AB55" s="12">
        <f>SUM(W55:AA55)</f>
        <v>222</v>
      </c>
      <c r="AD55" s="21"/>
      <c r="AE55" s="17"/>
    </row>
    <row r="56" spans="1:31">
      <c r="A56" s="29" t="s">
        <v>54</v>
      </c>
      <c r="B56" s="24">
        <f>C56+7</f>
        <v>6096</v>
      </c>
      <c r="C56" s="42">
        <v>6089</v>
      </c>
      <c r="D56" s="5">
        <f t="shared" si="43"/>
        <v>7</v>
      </c>
      <c r="E56" s="99"/>
      <c r="F56" s="95">
        <f t="shared" si="44"/>
        <v>7</v>
      </c>
      <c r="O56" s="7">
        <f>'E-CAP14, G-CAP14'!G15</f>
        <v>4</v>
      </c>
      <c r="P56" s="12">
        <f>O56</f>
        <v>4</v>
      </c>
      <c r="W56" s="36"/>
      <c r="AA56" s="7">
        <f>'E-CAP15, G-CAP-15'!G15</f>
        <v>0</v>
      </c>
      <c r="AB56" s="12">
        <f>SUM(W56:AA56)</f>
        <v>0</v>
      </c>
      <c r="AD56" s="21"/>
      <c r="AE56" s="17"/>
    </row>
    <row r="57" spans="1:31">
      <c r="A57" s="29" t="s">
        <v>57</v>
      </c>
      <c r="B57" s="31">
        <f>SUM(B54:B56)</f>
        <v>16642</v>
      </c>
      <c r="C57" s="31">
        <f>SUM(C54:C56)</f>
        <v>16475</v>
      </c>
      <c r="D57" s="31">
        <f>SUM(D54:D56)</f>
        <v>167</v>
      </c>
      <c r="E57" s="99"/>
      <c r="F57" s="24">
        <f>SUM(F54:F56)</f>
        <v>167</v>
      </c>
      <c r="O57" s="31">
        <f>SUM(O54:O56)</f>
        <v>248</v>
      </c>
      <c r="P57" s="31">
        <f>SUM(P54:P56)</f>
        <v>248</v>
      </c>
      <c r="W57" s="24"/>
      <c r="AA57" s="32">
        <f>SUM(AA54:AA56)</f>
        <v>222</v>
      </c>
      <c r="AB57" s="32">
        <f>SUM(AB54:AB56)</f>
        <v>222</v>
      </c>
      <c r="AD57" s="21"/>
      <c r="AE57" s="17"/>
    </row>
    <row r="58" spans="1:31">
      <c r="A58" s="29"/>
      <c r="B58" s="5"/>
      <c r="C58" s="5"/>
      <c r="D58" s="5"/>
      <c r="E58" s="99"/>
      <c r="F58" s="24"/>
      <c r="W58" s="21"/>
      <c r="AD58" s="21"/>
      <c r="AE58" s="17"/>
    </row>
    <row r="59" spans="1:31">
      <c r="A59" s="29" t="s">
        <v>58</v>
      </c>
      <c r="B59" s="5"/>
      <c r="C59" s="5"/>
      <c r="D59" s="5"/>
      <c r="E59" s="24"/>
      <c r="F59" s="24"/>
      <c r="AD59" s="21"/>
      <c r="AE59" s="17"/>
    </row>
    <row r="60" spans="1:31">
      <c r="A60" s="28" t="s">
        <v>52</v>
      </c>
      <c r="B60" s="40">
        <v>266435</v>
      </c>
      <c r="C60" s="40">
        <v>262911</v>
      </c>
      <c r="D60" s="5">
        <f>B60-C60</f>
        <v>3524</v>
      </c>
      <c r="E60" s="99"/>
      <c r="F60" s="19">
        <f>SUM(D60,E60)</f>
        <v>3524</v>
      </c>
      <c r="O60" s="7">
        <f>'E-CAP14, G-CAP14'!C13</f>
        <v>1603.2157143000002</v>
      </c>
      <c r="P60" s="12">
        <f>O60</f>
        <v>1603.2157143000002</v>
      </c>
      <c r="AA60" s="7">
        <f>'E-CAP15, G-CAP-15'!C13</f>
        <v>0</v>
      </c>
      <c r="AB60" s="12">
        <f>SUM(W60:AA60)</f>
        <v>0</v>
      </c>
      <c r="AD60" s="21"/>
      <c r="AE60" s="17"/>
    </row>
    <row r="61" spans="1:31">
      <c r="A61" s="28" t="s">
        <v>53</v>
      </c>
      <c r="B61" s="40">
        <v>299325</v>
      </c>
      <c r="C61" s="40">
        <v>294321</v>
      </c>
      <c r="D61" s="5">
        <f>B61-C61</f>
        <v>5004</v>
      </c>
      <c r="E61" s="99"/>
      <c r="F61" s="19">
        <f t="shared" ref="F61:F62" si="45">SUM(D61,E61)</f>
        <v>5004</v>
      </c>
      <c r="O61" s="7">
        <f>'E-CAP14, G-CAP14'!C14</f>
        <v>11410.832175900001</v>
      </c>
      <c r="P61" s="12">
        <f>O61</f>
        <v>11410.832175900001</v>
      </c>
      <c r="AA61" s="7">
        <f>'E-CAP15, G-CAP-15'!C14</f>
        <v>11884.948</v>
      </c>
      <c r="AB61" s="12">
        <f>SUM(W61:AA61)</f>
        <v>11884.948</v>
      </c>
      <c r="AD61" s="21"/>
      <c r="AE61" s="17"/>
    </row>
    <row r="62" spans="1:31">
      <c r="A62" s="28" t="s">
        <v>54</v>
      </c>
      <c r="B62" s="40">
        <v>190766</v>
      </c>
      <c r="C62" s="40">
        <v>190607</v>
      </c>
      <c r="D62" s="5">
        <f>B62-C62</f>
        <v>159</v>
      </c>
      <c r="E62" s="99"/>
      <c r="F62" s="19">
        <f t="shared" si="45"/>
        <v>159</v>
      </c>
      <c r="O62" s="7">
        <f>'E-CAP14, G-CAP14'!C15</f>
        <v>130.9347669</v>
      </c>
      <c r="P62" s="12">
        <f>O62</f>
        <v>130.9347669</v>
      </c>
      <c r="AA62" s="7">
        <f>'E-CAP15, G-CAP-15'!C15</f>
        <v>0</v>
      </c>
      <c r="AB62" s="12">
        <f>SUM(W62:AA62)</f>
        <v>0</v>
      </c>
      <c r="AD62" s="21"/>
      <c r="AE62" s="17"/>
    </row>
    <row r="63" spans="1:31">
      <c r="A63" s="29" t="s">
        <v>61</v>
      </c>
      <c r="B63" s="31">
        <f>SUM(B60:B62)</f>
        <v>756526</v>
      </c>
      <c r="C63" s="31">
        <f>SUM(C60:C62)</f>
        <v>747839</v>
      </c>
      <c r="D63" s="31">
        <f>SUM(D60:D62)</f>
        <v>8687</v>
      </c>
      <c r="E63" s="99"/>
      <c r="F63" s="45">
        <f>SUM(F60:F62)</f>
        <v>8687</v>
      </c>
      <c r="O63" s="32">
        <f>SUM(O60:O62)</f>
        <v>13144.982657100001</v>
      </c>
      <c r="P63" s="32">
        <f>SUM(P60:P62)</f>
        <v>13144.982657100001</v>
      </c>
      <c r="AA63" s="32">
        <f>SUM(AA60:AA62)</f>
        <v>11884.948</v>
      </c>
      <c r="AB63" s="32">
        <f>SUM(AB60:AB62)</f>
        <v>11884.948</v>
      </c>
      <c r="AD63" s="21"/>
      <c r="AE63" s="17"/>
    </row>
    <row r="64" spans="1:31">
      <c r="A64" s="1"/>
      <c r="B64" s="5"/>
      <c r="C64" s="5"/>
      <c r="D64" s="5"/>
      <c r="E64" s="24"/>
      <c r="F64" s="24"/>
      <c r="AD64" s="21"/>
      <c r="AE64" s="17"/>
    </row>
    <row r="65" spans="1:31">
      <c r="A65" s="29" t="s">
        <v>59</v>
      </c>
      <c r="B65" s="5"/>
      <c r="C65" s="5"/>
      <c r="D65" s="5"/>
      <c r="E65" s="24"/>
      <c r="F65" s="24"/>
      <c r="AD65" s="21"/>
      <c r="AE65" s="17"/>
    </row>
    <row r="66" spans="1:31">
      <c r="A66" s="28" t="s">
        <v>52</v>
      </c>
      <c r="B66" s="40">
        <v>-188809</v>
      </c>
      <c r="C66" s="40">
        <v>-186540</v>
      </c>
      <c r="D66" s="5">
        <f>B66-C66</f>
        <v>-2269</v>
      </c>
      <c r="E66" s="99"/>
      <c r="F66" s="19">
        <f>SUM(D66,E66)</f>
        <v>-2269</v>
      </c>
      <c r="L66" s="12">
        <f>-B54/2</f>
        <v>-2564.5</v>
      </c>
      <c r="O66" s="7">
        <f>-'E-CAP14, G-CAP14'!J13</f>
        <v>-2.4245678623199995</v>
      </c>
      <c r="P66" s="12">
        <f>L66+O66</f>
        <v>-2566.9245678623201</v>
      </c>
      <c r="W66" s="12">
        <f>-B54</f>
        <v>-5129</v>
      </c>
      <c r="Y66" s="12">
        <f>-('E-CAP14, G-CAP14'!K13-'E-CAP14, G-CAP14'!J13)</f>
        <v>-30.999999999999996</v>
      </c>
      <c r="Z66" s="12"/>
      <c r="AA66" s="7">
        <f>-'E-CAP15, G-CAP-15'!J13</f>
        <v>0</v>
      </c>
      <c r="AB66" s="12">
        <f>SUM(W66:AA66)</f>
        <v>-5160</v>
      </c>
      <c r="AD66" s="21"/>
      <c r="AE66" s="17"/>
    </row>
    <row r="67" spans="1:31">
      <c r="A67" s="28" t="s">
        <v>53</v>
      </c>
      <c r="B67" s="40">
        <v>-83961</v>
      </c>
      <c r="C67" s="40">
        <v>-81523</v>
      </c>
      <c r="D67" s="5">
        <f>B67-C67</f>
        <v>-2438</v>
      </c>
      <c r="E67" s="99"/>
      <c r="F67" s="19">
        <f t="shared" ref="F67:F68" si="46">SUM(D67,E67)</f>
        <v>-2438</v>
      </c>
      <c r="L67" s="12">
        <f>-B55/2</f>
        <v>-2708.5</v>
      </c>
      <c r="O67" s="7">
        <f>-'E-CAP14, G-CAP14'!J14</f>
        <v>-15.50062105532875</v>
      </c>
      <c r="P67" s="12">
        <f>L67+O67</f>
        <v>-2724.0006210553288</v>
      </c>
      <c r="W67" s="12">
        <f>-B55</f>
        <v>-5417</v>
      </c>
      <c r="Y67" s="12">
        <f>-('E-CAP14, G-CAP14'!K14-'E-CAP14, G-CAP14'!J14)</f>
        <v>-213</v>
      </c>
      <c r="Z67" s="12"/>
      <c r="AA67" s="7">
        <f>-'E-CAP15, G-CAP-15'!J14</f>
        <v>-145.24785082500006</v>
      </c>
      <c r="AB67" s="12">
        <f>SUM(W67:AA67)</f>
        <v>-5775.2478508249997</v>
      </c>
      <c r="AD67" s="21"/>
      <c r="AE67" s="17"/>
    </row>
    <row r="68" spans="1:31">
      <c r="A68" s="28" t="s">
        <v>54</v>
      </c>
      <c r="B68" s="40">
        <v>-59561</v>
      </c>
      <c r="C68" s="40">
        <v>-56604</v>
      </c>
      <c r="D68" s="5">
        <f>B68-C68</f>
        <v>-2957</v>
      </c>
      <c r="E68" s="99"/>
      <c r="F68" s="19">
        <f t="shared" si="46"/>
        <v>-2957</v>
      </c>
      <c r="L68" s="12">
        <f>-B56/2</f>
        <v>-3048</v>
      </c>
      <c r="O68" s="7">
        <f>-'E-CAP14, G-CAP14'!J15</f>
        <v>-0.59513285493625001</v>
      </c>
      <c r="P68" s="12">
        <f>L68+O68</f>
        <v>-3048.5951328549363</v>
      </c>
      <c r="W68" s="12">
        <f>-B56</f>
        <v>-6096</v>
      </c>
      <c r="Y68" s="12">
        <f>-('E-CAP14, G-CAP14'!K15-'E-CAP14, G-CAP14'!J15)</f>
        <v>-4</v>
      </c>
      <c r="Z68" s="12"/>
      <c r="AA68" s="7">
        <f>-'E-CAP15, G-CAP-15'!J15</f>
        <v>0</v>
      </c>
      <c r="AB68" s="12">
        <f>SUM(W68:AA68)</f>
        <v>-6100</v>
      </c>
      <c r="AD68" s="21"/>
      <c r="AE68" s="17"/>
    </row>
    <row r="69" spans="1:31">
      <c r="A69" s="29" t="s">
        <v>60</v>
      </c>
      <c r="B69" s="31">
        <f>SUM(B66:B68)</f>
        <v>-332331</v>
      </c>
      <c r="C69" s="31">
        <f>SUM(C66:C68)</f>
        <v>-324667</v>
      </c>
      <c r="D69" s="31">
        <f>SUM(D66:D68)</f>
        <v>-7664</v>
      </c>
      <c r="E69" s="99"/>
      <c r="F69" s="45">
        <f>SUM(F66:F68)</f>
        <v>-7664</v>
      </c>
      <c r="L69" s="32">
        <f>SUM(L66:L68)</f>
        <v>-8321</v>
      </c>
      <c r="O69" s="31">
        <f>SUM(O66:O68)</f>
        <v>-18.520321772585</v>
      </c>
      <c r="P69" s="31">
        <f>SUM(P66:P68)</f>
        <v>-8339.5203217725848</v>
      </c>
      <c r="W69" s="31">
        <f>SUM(W66:W68)</f>
        <v>-16642</v>
      </c>
      <c r="Y69" s="31">
        <f>SUM(Y66:Y68)</f>
        <v>-248</v>
      </c>
      <c r="Z69" s="31"/>
      <c r="AA69" s="31">
        <f>SUM(AA66:AA68)</f>
        <v>-145.24785082500006</v>
      </c>
      <c r="AB69" s="31">
        <f>SUM(AB66:AB68)</f>
        <v>-17035.247850824999</v>
      </c>
      <c r="AD69" s="21"/>
      <c r="AE69" s="17"/>
    </row>
    <row r="70" spans="1:31">
      <c r="A70" s="1"/>
      <c r="B70" s="5"/>
      <c r="C70" s="5"/>
      <c r="D70" s="5"/>
      <c r="E70" s="24"/>
      <c r="F70" s="5"/>
    </row>
    <row r="71" spans="1:31">
      <c r="A71" s="1"/>
      <c r="B71" s="5"/>
      <c r="C71" s="5"/>
      <c r="D71" s="5"/>
      <c r="E71" s="24"/>
      <c r="F71" s="5"/>
    </row>
    <row r="72" spans="1:31">
      <c r="A72" s="1"/>
      <c r="B72" s="5"/>
      <c r="C72" s="5"/>
      <c r="D72" s="5"/>
      <c r="E72" s="24"/>
      <c r="F72" s="5"/>
    </row>
    <row r="73" spans="1:31">
      <c r="A73" s="1"/>
      <c r="B73" s="5"/>
      <c r="C73" s="5"/>
      <c r="D73" s="5"/>
      <c r="E73" s="24"/>
      <c r="F73" s="5"/>
    </row>
    <row r="74" spans="1:31">
      <c r="A74" s="1"/>
      <c r="B74" s="5"/>
      <c r="C74" s="5"/>
      <c r="D74" s="5"/>
      <c r="E74" s="24"/>
      <c r="F74" s="5"/>
    </row>
  </sheetData>
  <mergeCells count="9">
    <mergeCell ref="A50:F50"/>
    <mergeCell ref="H3:J3"/>
    <mergeCell ref="B3:F3"/>
    <mergeCell ref="L3:P3"/>
    <mergeCell ref="W3:AB3"/>
    <mergeCell ref="R2:R3"/>
    <mergeCell ref="U2:U3"/>
    <mergeCell ref="S2:S3"/>
    <mergeCell ref="T2:T3"/>
  </mergeCells>
  <printOptions gridLines="1"/>
  <pageMargins left="0.25" right="0.25" top="0.75" bottom="1" header="0.5" footer="0.5"/>
  <pageSetup scale="63" fitToWidth="0" orientation="landscape" r:id="rId1"/>
  <headerFooter alignWithMargins="0">
    <oddFooter>&amp;L&amp;F
&amp;A&amp;RPage &amp;P of &amp;N
KKS &amp;D</oddFooter>
  </headerFooter>
  <colBreaks count="2" manualBreakCount="2">
    <brk id="10" max="42" man="1"/>
    <brk id="22" max="42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B19" sqref="B19"/>
    </sheetView>
  </sheetViews>
  <sheetFormatPr defaultRowHeight="12.75"/>
  <cols>
    <col min="1" max="1" width="40.7109375" bestFit="1" customWidth="1"/>
    <col min="2" max="2" width="15.85546875" bestFit="1" customWidth="1"/>
    <col min="3" max="3" width="16" bestFit="1" customWidth="1"/>
    <col min="4" max="4" width="14.140625" customWidth="1"/>
    <col min="5" max="5" width="13.7109375" bestFit="1" customWidth="1"/>
    <col min="6" max="6" width="11.140625" bestFit="1" customWidth="1"/>
  </cols>
  <sheetData>
    <row r="1" spans="1:7">
      <c r="A1" s="6" t="s">
        <v>2</v>
      </c>
      <c r="B1" s="263" t="s">
        <v>213</v>
      </c>
      <c r="C1" s="264"/>
      <c r="D1" s="264"/>
      <c r="E1" s="264"/>
      <c r="F1" s="265"/>
    </row>
    <row r="2" spans="1:7">
      <c r="A2" s="6" t="s">
        <v>8</v>
      </c>
      <c r="B2" s="266"/>
      <c r="C2" s="267"/>
      <c r="D2" s="267"/>
      <c r="E2" s="267"/>
      <c r="F2" s="268"/>
    </row>
    <row r="3" spans="1:7" ht="13.5" thickBot="1">
      <c r="A3" s="6" t="s">
        <v>48</v>
      </c>
      <c r="B3" s="269" t="s">
        <v>93</v>
      </c>
      <c r="C3" s="270"/>
      <c r="D3" s="270"/>
      <c r="E3" s="270"/>
      <c r="F3" s="271"/>
    </row>
    <row r="5" spans="1:7">
      <c r="B5" s="9" t="s">
        <v>39</v>
      </c>
      <c r="C5" s="9" t="s">
        <v>40</v>
      </c>
      <c r="D5" s="9" t="s">
        <v>75</v>
      </c>
      <c r="E5" s="98" t="s">
        <v>112</v>
      </c>
      <c r="F5" s="26">
        <v>2014</v>
      </c>
    </row>
    <row r="6" spans="1:7">
      <c r="A6" t="s">
        <v>83</v>
      </c>
    </row>
    <row r="7" spans="1:7">
      <c r="A7" t="s">
        <v>84</v>
      </c>
      <c r="G7" s="223"/>
    </row>
    <row r="8" spans="1:7" ht="25.5">
      <c r="B8" s="9">
        <v>2014</v>
      </c>
      <c r="C8" s="9">
        <v>2014</v>
      </c>
      <c r="D8" s="100" t="s">
        <v>74</v>
      </c>
      <c r="E8" s="9" t="s">
        <v>41</v>
      </c>
      <c r="F8" s="9" t="s">
        <v>10</v>
      </c>
      <c r="G8" s="223"/>
    </row>
    <row r="9" spans="1:7">
      <c r="A9" t="s">
        <v>62</v>
      </c>
      <c r="E9" s="9"/>
      <c r="F9" s="9"/>
      <c r="G9" s="223"/>
    </row>
    <row r="10" spans="1:7">
      <c r="A10" s="11" t="s">
        <v>34</v>
      </c>
      <c r="B10" s="141">
        <v>7394</v>
      </c>
      <c r="C10" s="141">
        <v>7394</v>
      </c>
      <c r="D10" s="141">
        <f>B10-C10</f>
        <v>0</v>
      </c>
      <c r="E10" s="141"/>
      <c r="F10" s="141"/>
      <c r="G10" s="223"/>
    </row>
    <row r="11" spans="1:7">
      <c r="A11" s="11" t="s">
        <v>35</v>
      </c>
      <c r="B11" s="141">
        <v>16426</v>
      </c>
      <c r="C11" s="141">
        <v>16426</v>
      </c>
      <c r="D11" s="141">
        <f t="shared" ref="D11:D14" si="0">B11-C11</f>
        <v>0</v>
      </c>
      <c r="E11" s="141"/>
      <c r="F11" s="141"/>
      <c r="G11" s="223"/>
    </row>
    <row r="12" spans="1:7">
      <c r="A12" s="11" t="s">
        <v>20</v>
      </c>
      <c r="B12" s="141">
        <v>6725</v>
      </c>
      <c r="C12" s="141">
        <v>6725</v>
      </c>
      <c r="D12" s="141">
        <f t="shared" si="0"/>
        <v>0</v>
      </c>
      <c r="E12" s="141"/>
      <c r="F12" s="141"/>
      <c r="G12" s="223"/>
    </row>
    <row r="13" spans="1:7">
      <c r="A13" s="11" t="s">
        <v>11</v>
      </c>
      <c r="B13" s="141">
        <v>23860</v>
      </c>
      <c r="C13" s="141">
        <v>23860</v>
      </c>
      <c r="D13" s="141">
        <f t="shared" si="0"/>
        <v>0</v>
      </c>
      <c r="E13" s="141"/>
      <c r="F13" s="141"/>
      <c r="G13" s="223"/>
    </row>
    <row r="14" spans="1:7">
      <c r="A14" s="11" t="s">
        <v>36</v>
      </c>
      <c r="B14" s="141">
        <v>10290</v>
      </c>
      <c r="C14" s="141">
        <v>10290</v>
      </c>
      <c r="D14" s="141">
        <f t="shared" si="0"/>
        <v>0</v>
      </c>
      <c r="E14" s="141"/>
      <c r="F14" s="141"/>
      <c r="G14" s="223"/>
    </row>
    <row r="15" spans="1:7">
      <c r="A15" s="11" t="s">
        <v>72</v>
      </c>
      <c r="B15" s="142">
        <f t="shared" ref="B15:C15" si="1">SUM(B10:B14)</f>
        <v>64695</v>
      </c>
      <c r="C15" s="142">
        <f t="shared" si="1"/>
        <v>64695</v>
      </c>
      <c r="D15" s="142">
        <f>SUM(D10:D14)</f>
        <v>0</v>
      </c>
      <c r="E15" s="142"/>
      <c r="F15" s="142"/>
      <c r="G15" s="223"/>
    </row>
    <row r="16" spans="1:7">
      <c r="A16" s="11"/>
      <c r="B16" s="142"/>
      <c r="C16" s="142"/>
      <c r="D16" s="142"/>
      <c r="E16" s="142"/>
      <c r="F16" s="142"/>
      <c r="G16" s="223"/>
    </row>
    <row r="17" spans="1:7">
      <c r="A17" s="11" t="s">
        <v>71</v>
      </c>
      <c r="B17" s="142">
        <v>1287</v>
      </c>
      <c r="C17" s="142">
        <v>1267</v>
      </c>
      <c r="D17" s="142">
        <f>B17-C17</f>
        <v>20</v>
      </c>
      <c r="E17" s="142"/>
      <c r="F17" s="142">
        <f>E17+D17</f>
        <v>20</v>
      </c>
      <c r="G17" s="223"/>
    </row>
    <row r="18" spans="1:7">
      <c r="B18" s="141"/>
      <c r="C18" s="141"/>
      <c r="D18" s="141"/>
      <c r="E18" s="141"/>
      <c r="F18" s="141"/>
      <c r="G18" s="223"/>
    </row>
    <row r="19" spans="1:7">
      <c r="A19" t="s">
        <v>4</v>
      </c>
      <c r="B19" s="140">
        <f>-(B15+B17)</f>
        <v>-65982</v>
      </c>
      <c r="C19" s="140">
        <f>-(C15+C17)</f>
        <v>-65962</v>
      </c>
      <c r="D19" s="140">
        <f>-(D15+D17)</f>
        <v>-20</v>
      </c>
      <c r="E19" s="140"/>
      <c r="F19" s="140">
        <f>D19+E19</f>
        <v>-20</v>
      </c>
      <c r="G19" s="223"/>
    </row>
    <row r="20" spans="1:7">
      <c r="A20" t="s">
        <v>63</v>
      </c>
      <c r="B20" s="141">
        <f>-B19*0.35</f>
        <v>23093.699999999997</v>
      </c>
      <c r="C20" s="141">
        <f>-C19*0.35</f>
        <v>23086.699999999997</v>
      </c>
      <c r="D20" s="141">
        <f>-D19*0.35</f>
        <v>7</v>
      </c>
      <c r="E20" s="141"/>
      <c r="F20" s="141">
        <f t="shared" ref="F20:F21" si="2">D20+E20</f>
        <v>7</v>
      </c>
      <c r="G20" s="223"/>
    </row>
    <row r="21" spans="1:7" ht="13.5" thickBot="1">
      <c r="A21" t="s">
        <v>5</v>
      </c>
      <c r="B21" s="143">
        <f>B19+B20</f>
        <v>-42888.3</v>
      </c>
      <c r="C21" s="143">
        <f>C19+C20</f>
        <v>-42875.3</v>
      </c>
      <c r="D21" s="143">
        <f>D19+D20</f>
        <v>-13</v>
      </c>
      <c r="E21" s="143"/>
      <c r="F21" s="143">
        <f t="shared" si="2"/>
        <v>-13</v>
      </c>
      <c r="G21" s="223"/>
    </row>
    <row r="22" spans="1:7">
      <c r="B22" s="7"/>
      <c r="C22" s="7"/>
      <c r="D22" s="7"/>
      <c r="G22" s="223"/>
    </row>
    <row r="23" spans="1:7">
      <c r="B23" s="7"/>
      <c r="C23" s="7"/>
      <c r="D23" s="7"/>
      <c r="G23" s="223"/>
    </row>
    <row r="24" spans="1:7">
      <c r="A24" t="s">
        <v>7</v>
      </c>
      <c r="B24" s="7"/>
      <c r="D24" s="7"/>
      <c r="G24" s="223"/>
    </row>
    <row r="25" spans="1:7">
      <c r="A25" s="11" t="s">
        <v>34</v>
      </c>
      <c r="B25" s="140">
        <v>106535</v>
      </c>
      <c r="C25" s="140">
        <v>102620</v>
      </c>
      <c r="D25" s="19">
        <f t="shared" ref="D25:D29" si="3">B25-C25</f>
        <v>3915</v>
      </c>
      <c r="E25" s="19"/>
      <c r="F25" s="140">
        <f t="shared" ref="F25:F29" si="4">D25+E25</f>
        <v>3915</v>
      </c>
      <c r="G25" s="223"/>
    </row>
    <row r="26" spans="1:7">
      <c r="A26" s="11" t="s">
        <v>35</v>
      </c>
      <c r="B26" s="140">
        <v>757122</v>
      </c>
      <c r="C26" s="140">
        <v>746101</v>
      </c>
      <c r="D26" s="19">
        <f t="shared" si="3"/>
        <v>11021</v>
      </c>
      <c r="E26" s="19"/>
      <c r="F26" s="140">
        <f t="shared" si="4"/>
        <v>11021</v>
      </c>
      <c r="G26" s="223"/>
    </row>
    <row r="27" spans="1:7">
      <c r="A27" s="11" t="s">
        <v>20</v>
      </c>
      <c r="B27" s="140">
        <v>390213</v>
      </c>
      <c r="C27" s="140">
        <v>371971</v>
      </c>
      <c r="D27" s="19">
        <f t="shared" si="3"/>
        <v>18242</v>
      </c>
      <c r="E27" s="19"/>
      <c r="F27" s="140">
        <f t="shared" si="4"/>
        <v>18242</v>
      </c>
      <c r="G27" s="223"/>
    </row>
    <row r="28" spans="1:7">
      <c r="A28" s="11" t="s">
        <v>11</v>
      </c>
      <c r="B28" s="140">
        <v>867175</v>
      </c>
      <c r="C28" s="140">
        <v>842795</v>
      </c>
      <c r="D28" s="19">
        <f t="shared" si="3"/>
        <v>24380</v>
      </c>
      <c r="E28" s="19">
        <v>-6524</v>
      </c>
      <c r="F28" s="140">
        <f t="shared" si="4"/>
        <v>17856</v>
      </c>
      <c r="G28" s="223"/>
    </row>
    <row r="29" spans="1:7">
      <c r="A29" s="11" t="s">
        <v>36</v>
      </c>
      <c r="B29" s="140">
        <v>200196</v>
      </c>
      <c r="C29" s="140">
        <v>196867</v>
      </c>
      <c r="D29" s="19">
        <f t="shared" si="3"/>
        <v>3329</v>
      </c>
      <c r="E29" s="19"/>
      <c r="F29" s="140">
        <f t="shared" si="4"/>
        <v>3329</v>
      </c>
      <c r="G29" s="223"/>
    </row>
    <row r="30" spans="1:7">
      <c r="A30" s="11" t="s">
        <v>37</v>
      </c>
      <c r="B30" s="20">
        <f>SUM(B25:B29)</f>
        <v>2321241</v>
      </c>
      <c r="C30" s="20">
        <f>SUM(C25:C29)</f>
        <v>2260354</v>
      </c>
      <c r="D30" s="20">
        <f>SUM(D25:D29)</f>
        <v>60887</v>
      </c>
      <c r="E30" s="20">
        <f>SUM(E25:E29)</f>
        <v>-6524</v>
      </c>
      <c r="F30" s="20">
        <f>SUM(F25:F29)</f>
        <v>54363</v>
      </c>
      <c r="G30" s="223"/>
    </row>
    <row r="31" spans="1:7">
      <c r="B31" s="127" t="s">
        <v>141</v>
      </c>
      <c r="C31" s="128" t="s">
        <v>142</v>
      </c>
      <c r="D31" s="129"/>
      <c r="G31" s="223"/>
    </row>
    <row r="32" spans="1:7">
      <c r="A32" t="s">
        <v>43</v>
      </c>
      <c r="B32" s="19"/>
      <c r="C32" s="19"/>
      <c r="D32" s="19"/>
      <c r="G32" s="223"/>
    </row>
    <row r="33" spans="1:7">
      <c r="A33" s="11" t="s">
        <v>34</v>
      </c>
      <c r="B33" s="140">
        <v>-20367</v>
      </c>
      <c r="C33" s="140">
        <v>-20498</v>
      </c>
      <c r="D33" s="19">
        <f t="shared" ref="D33:D37" si="5">B33-C33</f>
        <v>131</v>
      </c>
      <c r="E33" s="19"/>
      <c r="F33" s="140">
        <f t="shared" ref="F33:F37" si="6">D33+E33</f>
        <v>131</v>
      </c>
      <c r="G33" s="223"/>
    </row>
    <row r="34" spans="1:7">
      <c r="A34" s="11" t="s">
        <v>35</v>
      </c>
      <c r="B34" s="140">
        <v>-330026</v>
      </c>
      <c r="C34" s="140">
        <v>-325531</v>
      </c>
      <c r="D34" s="19">
        <f t="shared" si="5"/>
        <v>-4495</v>
      </c>
      <c r="E34" s="19"/>
      <c r="F34" s="140">
        <f t="shared" si="6"/>
        <v>-4495</v>
      </c>
      <c r="G34" s="223"/>
    </row>
    <row r="35" spans="1:7">
      <c r="A35" s="11" t="s">
        <v>20</v>
      </c>
      <c r="B35" s="140">
        <v>-124984</v>
      </c>
      <c r="C35" s="140">
        <v>-123869</v>
      </c>
      <c r="D35" s="19">
        <f t="shared" si="5"/>
        <v>-1115</v>
      </c>
      <c r="E35" s="19"/>
      <c r="F35" s="140">
        <f t="shared" si="6"/>
        <v>-1115</v>
      </c>
      <c r="G35" s="223"/>
    </row>
    <row r="36" spans="1:7">
      <c r="A36" s="11" t="s">
        <v>11</v>
      </c>
      <c r="B36" s="140">
        <v>-262889</v>
      </c>
      <c r="C36" s="140">
        <v>-252722</v>
      </c>
      <c r="D36" s="19">
        <f t="shared" si="5"/>
        <v>-10167</v>
      </c>
      <c r="E36" s="19">
        <v>186</v>
      </c>
      <c r="F36" s="140">
        <f t="shared" si="6"/>
        <v>-9981</v>
      </c>
      <c r="G36" s="223"/>
    </row>
    <row r="37" spans="1:7">
      <c r="A37" s="11" t="s">
        <v>36</v>
      </c>
      <c r="B37" s="140">
        <v>-65940</v>
      </c>
      <c r="C37" s="140">
        <v>-65464</v>
      </c>
      <c r="D37" s="19">
        <f t="shared" si="5"/>
        <v>-476</v>
      </c>
      <c r="E37" s="19"/>
      <c r="F37" s="140">
        <f t="shared" si="6"/>
        <v>-476</v>
      </c>
      <c r="G37" s="223"/>
    </row>
    <row r="38" spans="1:7">
      <c r="A38" s="11" t="s">
        <v>38</v>
      </c>
      <c r="B38" s="20">
        <f>SUM(B33:B37)</f>
        <v>-804206</v>
      </c>
      <c r="C38" s="20">
        <f>SUM(C33:C37)</f>
        <v>-788084</v>
      </c>
      <c r="D38" s="20">
        <f>SUM(D33:D37)</f>
        <v>-16122</v>
      </c>
      <c r="E38" s="20">
        <f>SUM(E33:E37)</f>
        <v>186</v>
      </c>
      <c r="F38" s="20">
        <f>SUM(F33:F37)</f>
        <v>-15936</v>
      </c>
      <c r="G38" s="223"/>
    </row>
    <row r="39" spans="1:7">
      <c r="B39" s="127" t="s">
        <v>141</v>
      </c>
      <c r="C39" s="127" t="s">
        <v>142</v>
      </c>
      <c r="D39" s="129"/>
      <c r="E39" s="129"/>
      <c r="F39" s="129"/>
      <c r="G39" s="223"/>
    </row>
    <row r="40" spans="1:7">
      <c r="A40" t="s">
        <v>44</v>
      </c>
      <c r="B40" s="19"/>
      <c r="C40" s="19"/>
      <c r="D40" s="19"/>
      <c r="E40" s="19"/>
      <c r="F40" s="19"/>
      <c r="G40" s="223"/>
    </row>
    <row r="41" spans="1:7">
      <c r="A41" s="11" t="s">
        <v>34</v>
      </c>
      <c r="B41" s="140">
        <v>-4663</v>
      </c>
      <c r="C41" s="140">
        <v>-6312</v>
      </c>
      <c r="D41" s="19">
        <f t="shared" ref="D41:D45" si="7">B41-C41</f>
        <v>1649</v>
      </c>
      <c r="E41" s="19"/>
      <c r="F41" s="140">
        <f t="shared" ref="F41:F45" si="8">D41+E41</f>
        <v>1649</v>
      </c>
      <c r="G41" s="223"/>
    </row>
    <row r="42" spans="1:7">
      <c r="A42" s="11" t="s">
        <v>35</v>
      </c>
      <c r="B42" s="140">
        <v>-105797</v>
      </c>
      <c r="C42" s="140">
        <v>-86513</v>
      </c>
      <c r="D42" s="19">
        <f t="shared" si="7"/>
        <v>-19284</v>
      </c>
      <c r="E42" s="19"/>
      <c r="F42" s="140">
        <f t="shared" si="8"/>
        <v>-19284</v>
      </c>
      <c r="G42" s="223"/>
    </row>
    <row r="43" spans="1:7">
      <c r="A43" s="11" t="s">
        <v>20</v>
      </c>
      <c r="B43" s="140">
        <v>-46595</v>
      </c>
      <c r="C43" s="140">
        <v>-37374</v>
      </c>
      <c r="D43" s="19">
        <f t="shared" si="7"/>
        <v>-9221</v>
      </c>
      <c r="E43" s="19"/>
      <c r="F43" s="140">
        <f t="shared" si="8"/>
        <v>-9221</v>
      </c>
      <c r="G43" s="223"/>
    </row>
    <row r="44" spans="1:7">
      <c r="A44" s="11" t="s">
        <v>11</v>
      </c>
      <c r="B44" s="140">
        <v>-107404</v>
      </c>
      <c r="C44" s="140">
        <v>-86146</v>
      </c>
      <c r="D44" s="19">
        <f t="shared" si="7"/>
        <v>-21258</v>
      </c>
      <c r="E44" s="19">
        <v>56</v>
      </c>
      <c r="F44" s="140">
        <f t="shared" si="8"/>
        <v>-21202</v>
      </c>
      <c r="G44" s="223"/>
    </row>
    <row r="45" spans="1:7">
      <c r="A45" s="11" t="s">
        <v>36</v>
      </c>
      <c r="B45" s="140">
        <v>-33061</v>
      </c>
      <c r="C45" s="140">
        <v>-41421</v>
      </c>
      <c r="D45" s="19">
        <f t="shared" si="7"/>
        <v>8360</v>
      </c>
      <c r="E45" s="19"/>
      <c r="F45" s="140">
        <f t="shared" si="8"/>
        <v>8360</v>
      </c>
      <c r="G45" s="223"/>
    </row>
    <row r="46" spans="1:7">
      <c r="A46" s="11" t="s">
        <v>42</v>
      </c>
      <c r="B46" s="20">
        <f>SUM(B41:B45)</f>
        <v>-297520</v>
      </c>
      <c r="C46" s="20">
        <f>SUM(C41:C45)</f>
        <v>-257766</v>
      </c>
      <c r="D46" s="20">
        <f>SUM(D41:D45)</f>
        <v>-39754</v>
      </c>
      <c r="E46" s="20">
        <f>SUM(E41:E45)</f>
        <v>56</v>
      </c>
      <c r="F46" s="20">
        <f>SUM(F41:F45)</f>
        <v>-39698</v>
      </c>
      <c r="G46" s="223"/>
    </row>
    <row r="47" spans="1:7">
      <c r="B47" s="132" t="s">
        <v>111</v>
      </c>
      <c r="C47" s="132" t="s">
        <v>111</v>
      </c>
      <c r="D47" s="133"/>
      <c r="E47" s="133"/>
      <c r="F47" s="133"/>
      <c r="G47" s="223"/>
    </row>
    <row r="48" spans="1:7" ht="13.5" thickBot="1">
      <c r="A48" t="s">
        <v>6</v>
      </c>
      <c r="B48" s="23">
        <f>B30+B38+B46</f>
        <v>1219515</v>
      </c>
      <c r="C48" s="23">
        <f>C30+C38+C46</f>
        <v>1214504</v>
      </c>
      <c r="D48" s="23">
        <f>D30+D38+D46</f>
        <v>5011</v>
      </c>
      <c r="E48" s="23">
        <f>E30+E38+E46</f>
        <v>-6282</v>
      </c>
      <c r="F48" s="23">
        <f>F30+F38+F46</f>
        <v>-1271</v>
      </c>
      <c r="G48" s="223"/>
    </row>
    <row r="49" spans="3:7">
      <c r="C49" s="104" t="s">
        <v>87</v>
      </c>
      <c r="G49" s="223"/>
    </row>
    <row r="50" spans="3:7">
      <c r="G50" s="223"/>
    </row>
    <row r="51" spans="3:7">
      <c r="G51" s="223"/>
    </row>
    <row r="52" spans="3:7">
      <c r="G52" s="223"/>
    </row>
    <row r="53" spans="3:7">
      <c r="G53" s="223"/>
    </row>
    <row r="54" spans="3:7">
      <c r="G54" s="223"/>
    </row>
    <row r="55" spans="3:7">
      <c r="G55" s="223"/>
    </row>
    <row r="56" spans="3:7">
      <c r="G56" s="223"/>
    </row>
    <row r="57" spans="3:7">
      <c r="G57" s="223"/>
    </row>
    <row r="58" spans="3:7">
      <c r="G58" s="223"/>
    </row>
    <row r="59" spans="3:7">
      <c r="G59" s="223"/>
    </row>
    <row r="60" spans="3:7">
      <c r="G60" s="223"/>
    </row>
    <row r="61" spans="3:7">
      <c r="G61" s="223"/>
    </row>
    <row r="62" spans="3:7">
      <c r="G62" s="223"/>
    </row>
    <row r="63" spans="3:7">
      <c r="G63" s="223"/>
    </row>
    <row r="64" spans="3:7">
      <c r="G64" s="223"/>
    </row>
    <row r="65" spans="7:7">
      <c r="G65" s="223"/>
    </row>
    <row r="66" spans="7:7">
      <c r="G66" s="223"/>
    </row>
    <row r="67" spans="7:7">
      <c r="G67" s="223"/>
    </row>
    <row r="68" spans="7:7">
      <c r="G68" s="223"/>
    </row>
    <row r="69" spans="7:7">
      <c r="G69" s="223"/>
    </row>
    <row r="70" spans="7:7">
      <c r="G70" s="223"/>
    </row>
    <row r="71" spans="7:7">
      <c r="G71" s="223"/>
    </row>
    <row r="72" spans="7:7">
      <c r="G72" s="223"/>
    </row>
    <row r="73" spans="7:7">
      <c r="G73" s="223"/>
    </row>
    <row r="74" spans="7:7">
      <c r="G74" s="223"/>
    </row>
    <row r="75" spans="7:7">
      <c r="G75" s="223"/>
    </row>
    <row r="76" spans="7:7">
      <c r="G76" s="223"/>
    </row>
    <row r="77" spans="7:7">
      <c r="G77" s="223"/>
    </row>
    <row r="78" spans="7:7">
      <c r="G78" s="223"/>
    </row>
    <row r="79" spans="7:7">
      <c r="G79" s="223"/>
    </row>
    <row r="80" spans="7:7">
      <c r="G80" s="223"/>
    </row>
    <row r="81" spans="7:7">
      <c r="G81" s="223"/>
    </row>
  </sheetData>
  <mergeCells count="2">
    <mergeCell ref="B3:F3"/>
    <mergeCell ref="B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76"/>
  <sheetViews>
    <sheetView tabSelected="1" zoomScale="90" zoomScaleNormal="90" workbookViewId="0">
      <pane xSplit="1" ySplit="8" topLeftCell="Q18" activePane="bottomRight" state="frozen"/>
      <selection activeCell="AA13" sqref="AA13"/>
      <selection pane="topRight" activeCell="AA13" sqref="AA13"/>
      <selection pane="bottomLeft" activeCell="AA13" sqref="AA13"/>
      <selection pane="bottomRight" activeCell="AB40" sqref="AB40"/>
    </sheetView>
  </sheetViews>
  <sheetFormatPr defaultRowHeight="12.75"/>
  <cols>
    <col min="1" max="1" width="38.5703125" bestFit="1" customWidth="1"/>
    <col min="2" max="2" width="16.7109375" bestFit="1" customWidth="1"/>
    <col min="3" max="3" width="14.5703125" bestFit="1" customWidth="1"/>
    <col min="4" max="4" width="12.85546875" bestFit="1" customWidth="1"/>
    <col min="5" max="5" width="13" style="21" bestFit="1" customWidth="1"/>
    <col min="6" max="6" width="12.7109375" bestFit="1" customWidth="1"/>
    <col min="7" max="7" width="1.140625" style="1" customWidth="1"/>
    <col min="8" max="8" width="14.5703125" bestFit="1" customWidth="1"/>
    <col min="9" max="9" width="12.7109375" bestFit="1" customWidth="1"/>
    <col min="10" max="10" width="14.140625" bestFit="1" customWidth="1"/>
    <col min="11" max="11" width="1.140625" style="1" customWidth="1"/>
    <col min="12" max="12" width="14" bestFit="1" customWidth="1"/>
    <col min="13" max="13" width="12.140625" style="21" bestFit="1" customWidth="1"/>
    <col min="14" max="14" width="12.140625" style="21" customWidth="1"/>
    <col min="15" max="15" width="14" bestFit="1" customWidth="1"/>
    <col min="16" max="16" width="14.28515625" bestFit="1" customWidth="1"/>
    <col min="17" max="17" width="1" style="21" customWidth="1"/>
    <col min="18" max="18" width="14.28515625" bestFit="1" customWidth="1"/>
    <col min="19" max="21" width="14.28515625" customWidth="1"/>
    <col min="22" max="22" width="1" style="21" customWidth="1"/>
    <col min="23" max="23" width="14.28515625" customWidth="1"/>
    <col min="24" max="24" width="13" style="21" customWidth="1"/>
    <col min="25" max="25" width="13.5703125" bestFit="1" customWidth="1"/>
    <col min="26" max="26" width="13.5703125" customWidth="1"/>
    <col min="27" max="28" width="13.42578125" bestFit="1" customWidth="1"/>
    <col min="29" max="29" width="1.5703125" style="1" customWidth="1"/>
    <col min="30" max="30" width="17.42578125" bestFit="1" customWidth="1"/>
    <col min="31" max="31" width="1.5703125" style="1" customWidth="1"/>
  </cols>
  <sheetData>
    <row r="1" spans="1:31">
      <c r="A1" s="6" t="s">
        <v>2</v>
      </c>
    </row>
    <row r="2" spans="1:31" ht="13.5" customHeight="1" thickBot="1">
      <c r="A2" s="6" t="s">
        <v>8</v>
      </c>
      <c r="R2" s="260" t="s">
        <v>277</v>
      </c>
      <c r="S2" s="261" t="s">
        <v>278</v>
      </c>
      <c r="T2" s="261" t="s">
        <v>281</v>
      </c>
      <c r="U2" s="261" t="s">
        <v>282</v>
      </c>
    </row>
    <row r="3" spans="1:31" ht="13.5" thickBot="1">
      <c r="A3" s="6" t="s">
        <v>49</v>
      </c>
      <c r="B3" s="257" t="s">
        <v>92</v>
      </c>
      <c r="C3" s="258"/>
      <c r="D3" s="258"/>
      <c r="E3" s="258"/>
      <c r="F3" s="259"/>
      <c r="H3" s="257" t="s">
        <v>45</v>
      </c>
      <c r="I3" s="258"/>
      <c r="J3" s="259"/>
      <c r="L3" s="257" t="s">
        <v>93</v>
      </c>
      <c r="M3" s="258"/>
      <c r="N3" s="258"/>
      <c r="O3" s="258"/>
      <c r="P3" s="259"/>
      <c r="Q3" s="25"/>
      <c r="R3" s="260"/>
      <c r="S3" s="261"/>
      <c r="T3" s="261"/>
      <c r="U3" s="261"/>
      <c r="V3" s="25"/>
      <c r="W3" s="257" t="s">
        <v>66</v>
      </c>
      <c r="X3" s="258"/>
      <c r="Y3" s="258"/>
      <c r="Z3" s="258"/>
      <c r="AA3" s="258"/>
      <c r="AB3" s="259"/>
      <c r="AD3" s="134" t="s">
        <v>45</v>
      </c>
      <c r="AE3" s="4"/>
    </row>
    <row r="4" spans="1:31" s="21" customFormat="1">
      <c r="A4" s="114"/>
      <c r="B4" s="25"/>
      <c r="C4" s="25"/>
      <c r="D4" s="25"/>
      <c r="E4" s="25"/>
      <c r="F4" s="25"/>
      <c r="G4" s="17"/>
      <c r="H4" s="25"/>
      <c r="I4" s="25"/>
      <c r="J4" s="25"/>
      <c r="K4" s="17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17"/>
      <c r="AD4" s="103"/>
      <c r="AE4" s="103"/>
    </row>
    <row r="5" spans="1:31" ht="38.25">
      <c r="B5" s="9" t="s">
        <v>39</v>
      </c>
      <c r="C5" s="9" t="s">
        <v>40</v>
      </c>
      <c r="D5" s="9" t="s">
        <v>75</v>
      </c>
      <c r="E5" s="26" t="s">
        <v>112</v>
      </c>
      <c r="F5" s="26" t="s">
        <v>97</v>
      </c>
      <c r="H5" s="9" t="s">
        <v>40</v>
      </c>
      <c r="I5" s="9" t="s">
        <v>97</v>
      </c>
      <c r="J5" s="9" t="s">
        <v>39</v>
      </c>
      <c r="L5" s="9" t="s">
        <v>100</v>
      </c>
      <c r="M5" s="26" t="s">
        <v>101</v>
      </c>
      <c r="N5" s="100" t="s">
        <v>114</v>
      </c>
      <c r="O5" s="100" t="s">
        <v>102</v>
      </c>
      <c r="P5" s="26" t="s">
        <v>65</v>
      </c>
      <c r="Q5" s="26"/>
      <c r="R5" s="115" t="s">
        <v>136</v>
      </c>
      <c r="S5" s="115"/>
      <c r="T5" s="115"/>
      <c r="U5" s="115"/>
      <c r="V5" s="26"/>
      <c r="W5" s="9" t="s">
        <v>100</v>
      </c>
      <c r="X5" s="26" t="s">
        <v>101</v>
      </c>
      <c r="Y5" s="100" t="s">
        <v>102</v>
      </c>
      <c r="Z5" s="100">
        <v>2015</v>
      </c>
      <c r="AA5" s="9" t="s">
        <v>67</v>
      </c>
      <c r="AB5" s="115">
        <v>2015</v>
      </c>
      <c r="AD5" s="9" t="s">
        <v>39</v>
      </c>
      <c r="AE5" s="37"/>
    </row>
    <row r="6" spans="1:31" s="113" customFormat="1">
      <c r="A6" s="105" t="s">
        <v>88</v>
      </c>
      <c r="B6" s="106"/>
      <c r="C6" s="106"/>
      <c r="D6" s="106"/>
      <c r="E6" s="109"/>
      <c r="F6" s="109"/>
      <c r="G6" s="108"/>
      <c r="H6" s="106"/>
      <c r="I6" s="106"/>
      <c r="J6" s="106"/>
      <c r="K6" s="108"/>
      <c r="L6" s="106"/>
      <c r="M6" s="109"/>
      <c r="N6" s="109"/>
      <c r="O6" s="110"/>
      <c r="P6" s="154"/>
      <c r="Q6" s="109"/>
      <c r="R6" s="126">
        <v>3.07</v>
      </c>
      <c r="S6" s="126"/>
      <c r="T6" s="126" t="s">
        <v>266</v>
      </c>
      <c r="U6" s="126">
        <v>3.07</v>
      </c>
      <c r="V6" s="109"/>
      <c r="W6" s="106"/>
      <c r="X6" s="109"/>
      <c r="Y6" s="110"/>
      <c r="Z6" s="110"/>
      <c r="AA6" s="106"/>
      <c r="AB6" s="126">
        <v>4.01</v>
      </c>
      <c r="AC6" s="108"/>
      <c r="AD6" s="106"/>
      <c r="AE6" s="112"/>
    </row>
    <row r="7" spans="1:31" s="113" customFormat="1">
      <c r="A7" s="105" t="s">
        <v>89</v>
      </c>
      <c r="B7" s="106"/>
      <c r="C7" s="106"/>
      <c r="D7" s="106"/>
      <c r="E7" s="109"/>
      <c r="F7" s="109"/>
      <c r="G7" s="108"/>
      <c r="H7" s="106"/>
      <c r="I7" s="106"/>
      <c r="J7" s="106"/>
      <c r="K7" s="108"/>
      <c r="L7" s="106"/>
      <c r="M7" s="109"/>
      <c r="N7" s="109"/>
      <c r="O7" s="110"/>
      <c r="P7" s="154"/>
      <c r="Q7" s="109"/>
      <c r="R7" s="126" t="s">
        <v>90</v>
      </c>
      <c r="S7" s="126" t="s">
        <v>276</v>
      </c>
      <c r="T7" s="126" t="s">
        <v>283</v>
      </c>
      <c r="U7" s="126" t="s">
        <v>284</v>
      </c>
      <c r="V7" s="109"/>
      <c r="W7" s="106"/>
      <c r="X7" s="109"/>
      <c r="Y7" s="110"/>
      <c r="Z7" s="110"/>
      <c r="AA7" s="106"/>
      <c r="AB7" s="126" t="s">
        <v>90</v>
      </c>
      <c r="AC7" s="108"/>
      <c r="AD7" s="106"/>
      <c r="AE7" s="112"/>
    </row>
    <row r="8" spans="1:31" s="15" customFormat="1" ht="39" thickBot="1">
      <c r="A8" s="13"/>
      <c r="B8" s="14" t="s">
        <v>97</v>
      </c>
      <c r="C8" s="14" t="s">
        <v>97</v>
      </c>
      <c r="D8" s="14" t="s">
        <v>74</v>
      </c>
      <c r="E8" s="16" t="s">
        <v>41</v>
      </c>
      <c r="F8" s="16" t="s">
        <v>10</v>
      </c>
      <c r="G8" s="10"/>
      <c r="H8" s="14" t="s">
        <v>97</v>
      </c>
      <c r="I8" s="16" t="s">
        <v>10</v>
      </c>
      <c r="J8" s="14" t="s">
        <v>99</v>
      </c>
      <c r="K8" s="10"/>
      <c r="L8" s="14" t="s">
        <v>64</v>
      </c>
      <c r="M8" s="16" t="s">
        <v>47</v>
      </c>
      <c r="N8" s="14" t="s">
        <v>113</v>
      </c>
      <c r="O8" s="14" t="s">
        <v>46</v>
      </c>
      <c r="P8" s="16" t="s">
        <v>10</v>
      </c>
      <c r="Q8" s="3"/>
      <c r="R8" s="117" t="s">
        <v>10</v>
      </c>
      <c r="S8" s="117"/>
      <c r="T8" s="117"/>
      <c r="U8" s="117" t="s">
        <v>135</v>
      </c>
      <c r="V8" s="3"/>
      <c r="W8" s="14" t="s">
        <v>96</v>
      </c>
      <c r="X8" s="16" t="s">
        <v>47</v>
      </c>
      <c r="Y8" s="14" t="s">
        <v>46</v>
      </c>
      <c r="Z8" s="14" t="s">
        <v>113</v>
      </c>
      <c r="AA8" s="14" t="s">
        <v>46</v>
      </c>
      <c r="AB8" s="117" t="s">
        <v>10</v>
      </c>
      <c r="AC8" s="10"/>
      <c r="AD8" s="18" t="s">
        <v>68</v>
      </c>
      <c r="AE8" s="34"/>
    </row>
    <row r="9" spans="1:31" s="15" customFormat="1">
      <c r="A9" s="35" t="s">
        <v>62</v>
      </c>
      <c r="B9" s="33"/>
      <c r="C9" s="33"/>
      <c r="D9" s="33"/>
      <c r="E9" s="3"/>
      <c r="F9" s="3"/>
      <c r="G9" s="10"/>
      <c r="H9" s="33"/>
      <c r="I9" s="3"/>
      <c r="J9" s="33"/>
      <c r="K9" s="10"/>
      <c r="L9" s="33"/>
      <c r="M9" s="3"/>
      <c r="N9" s="3"/>
      <c r="O9" s="33"/>
      <c r="P9" s="3"/>
      <c r="Q9" s="3"/>
      <c r="R9" s="118"/>
      <c r="S9" s="118"/>
      <c r="T9" s="118"/>
      <c r="U9" s="118"/>
      <c r="V9" s="3"/>
      <c r="W9" s="33"/>
      <c r="X9" s="3"/>
      <c r="Y9" s="33"/>
      <c r="Z9" s="33"/>
      <c r="AA9" s="33"/>
      <c r="AB9" s="118"/>
      <c r="AC9" s="10"/>
      <c r="AD9" s="34"/>
      <c r="AE9" s="34"/>
    </row>
    <row r="10" spans="1:31">
      <c r="A10" s="11" t="s">
        <v>34</v>
      </c>
      <c r="B10" s="19">
        <f>C10+353</f>
        <v>2151</v>
      </c>
      <c r="C10" s="24">
        <f>1717+81</f>
        <v>1798</v>
      </c>
      <c r="D10" s="19">
        <f t="shared" ref="D10:D13" si="0">B10-C10</f>
        <v>353</v>
      </c>
      <c r="E10" s="19"/>
      <c r="F10" s="19">
        <f>SUM(E10,D10)</f>
        <v>353</v>
      </c>
      <c r="I10" s="12"/>
      <c r="N10" s="7">
        <f>'E-CAP14, G-CAP14'!AA50</f>
        <v>-91.921409999999995</v>
      </c>
      <c r="O10" s="7">
        <f>('E-CAP14, G-CAP14'!G48+'E-CAP14, G-CAP14'!G49)</f>
        <v>285</v>
      </c>
      <c r="P10" s="19">
        <f>SUM(L10:O10)</f>
        <v>193.07859000000002</v>
      </c>
      <c r="Q10" s="19"/>
      <c r="R10" s="119">
        <f>P10+F10</f>
        <v>546.07859000000008</v>
      </c>
      <c r="S10" s="119">
        <f>'Recreate DR 131 Att. D Pg 13'!B10</f>
        <v>1893</v>
      </c>
      <c r="T10" s="250">
        <f>S10-(5024*(S10/(S10+S13)))</f>
        <v>-273.87901572112105</v>
      </c>
      <c r="U10" s="119">
        <f>T10+R10</f>
        <v>272.19957427887903</v>
      </c>
      <c r="V10" s="19"/>
      <c r="Y10" s="7"/>
      <c r="Z10" s="7">
        <f>'E-CAP15, G-CAP-15'!X54</f>
        <v>0</v>
      </c>
      <c r="AA10" s="7">
        <f>('E-CAP15, G-CAP-15'!G54)</f>
        <v>1266</v>
      </c>
      <c r="AB10" s="119">
        <f>SUM(W10:AA10)</f>
        <v>1266</v>
      </c>
      <c r="AD10" s="12">
        <f>SUM(J10,P10,AB10)</f>
        <v>1459.0785900000001</v>
      </c>
      <c r="AE10" s="38"/>
    </row>
    <row r="11" spans="1:31">
      <c r="A11" s="11" t="s">
        <v>50</v>
      </c>
      <c r="B11" s="19">
        <f>C11+12</f>
        <v>404</v>
      </c>
      <c r="C11" s="24">
        <v>392</v>
      </c>
      <c r="D11" s="19">
        <f t="shared" si="0"/>
        <v>12</v>
      </c>
      <c r="E11" s="24"/>
      <c r="F11" s="19">
        <f>SUM(E11,D11)</f>
        <v>12</v>
      </c>
      <c r="I11" s="12"/>
      <c r="M11" s="19"/>
      <c r="N11" s="7">
        <f>'E-CAP14, G-CAP14'!AA36</f>
        <v>0</v>
      </c>
      <c r="O11" s="7">
        <f>'E-CAP14, G-CAP14'!G36</f>
        <v>2</v>
      </c>
      <c r="P11" s="19">
        <f>SUM(L11:O11)</f>
        <v>2</v>
      </c>
      <c r="Q11" s="19"/>
      <c r="R11" s="119">
        <f>P11+F11</f>
        <v>14</v>
      </c>
      <c r="S11" s="119">
        <f>'Recreate DR 131 Att. D Pg 13'!B11</f>
        <v>402</v>
      </c>
      <c r="T11" s="250">
        <f>S11-406</f>
        <v>-4</v>
      </c>
      <c r="U11" s="119">
        <f t="shared" ref="U11:U13" si="1">T11+R11</f>
        <v>10</v>
      </c>
      <c r="V11" s="19"/>
      <c r="X11" s="19"/>
      <c r="Y11" s="7"/>
      <c r="Z11" s="7">
        <f>'E-CAP15, G-CAP-15'!X38</f>
        <v>0</v>
      </c>
      <c r="AA11" s="7">
        <f>'E-CAP15, G-CAP-15'!G38</f>
        <v>0</v>
      </c>
      <c r="AB11" s="119">
        <f>SUM(W11:AA11)</f>
        <v>0</v>
      </c>
      <c r="AD11" s="12">
        <f>SUM(J11,P11,AB11)</f>
        <v>2</v>
      </c>
      <c r="AE11" s="38"/>
    </row>
    <row r="12" spans="1:31">
      <c r="A12" s="11" t="s">
        <v>11</v>
      </c>
      <c r="B12" s="19">
        <f>C12+285</f>
        <v>8671</v>
      </c>
      <c r="C12" s="24">
        <v>8386</v>
      </c>
      <c r="D12" s="19">
        <f t="shared" si="0"/>
        <v>285</v>
      </c>
      <c r="E12" s="24"/>
      <c r="F12" s="19">
        <f t="shared" ref="F12:F13" si="2">SUM(E12,D12)</f>
        <v>285</v>
      </c>
      <c r="I12" s="12"/>
      <c r="M12" s="19"/>
      <c r="N12" s="7">
        <f>'E-CAP14, G-CAP14'!AA42</f>
        <v>-19.655999999999999</v>
      </c>
      <c r="O12" s="7">
        <f>'E-CAP14, G-CAP14'!G42</f>
        <v>134</v>
      </c>
      <c r="P12" s="19">
        <f>SUM(L12:O12)</f>
        <v>114.34399999999999</v>
      </c>
      <c r="Q12" s="19"/>
      <c r="R12" s="119">
        <f>P12+F12</f>
        <v>399.34399999999999</v>
      </c>
      <c r="S12" s="119">
        <f>'Recreate DR 131 Att. D Pg 13'!B12</f>
        <v>8519</v>
      </c>
      <c r="T12" s="250">
        <f>S12-8780</f>
        <v>-261</v>
      </c>
      <c r="U12" s="119">
        <f t="shared" si="1"/>
        <v>138.34399999999999</v>
      </c>
      <c r="V12" s="19"/>
      <c r="X12" s="19"/>
      <c r="Y12" s="7"/>
      <c r="Z12" s="7">
        <f>'E-CAP15, G-CAP-15'!X44</f>
        <v>0</v>
      </c>
      <c r="AA12" s="7">
        <f>'E-CAP15, G-CAP-15'!G44</f>
        <v>113</v>
      </c>
      <c r="AB12" s="119">
        <f>SUM(W12:AA12)</f>
        <v>113</v>
      </c>
      <c r="AD12" s="12">
        <f>SUM(J12,P12,AB12)</f>
        <v>227.34399999999999</v>
      </c>
      <c r="AE12" s="38"/>
    </row>
    <row r="13" spans="1:31">
      <c r="A13" s="11" t="s">
        <v>36</v>
      </c>
      <c r="B13" s="19">
        <f>C13+156</f>
        <v>2674</v>
      </c>
      <c r="C13" s="24">
        <f>2514+4</f>
        <v>2518</v>
      </c>
      <c r="D13" s="19">
        <f t="shared" si="0"/>
        <v>156</v>
      </c>
      <c r="E13" s="24"/>
      <c r="F13" s="19">
        <f t="shared" si="2"/>
        <v>156</v>
      </c>
      <c r="I13" s="12"/>
      <c r="N13" s="7">
        <f>'E-CAP14, G-CAP14'!AA46</f>
        <v>-45.793000000000006</v>
      </c>
      <c r="O13" s="7">
        <f>'E-CAP14, G-CAP14'!G46</f>
        <v>52</v>
      </c>
      <c r="P13" s="19">
        <f>SUM(L13:O13)</f>
        <v>6.2069999999999936</v>
      </c>
      <c r="Q13" s="19"/>
      <c r="R13" s="119">
        <f>P13+F13</f>
        <v>162.20699999999999</v>
      </c>
      <c r="S13" s="119">
        <f>'Recreate DR 131 Att. D Pg 13'!B13</f>
        <v>2496</v>
      </c>
      <c r="T13" s="250">
        <f>S13-(5024*(S13/(S10+S13)))</f>
        <v>-361.1209842788794</v>
      </c>
      <c r="U13" s="119">
        <f t="shared" si="1"/>
        <v>-198.91398427887941</v>
      </c>
      <c r="V13" s="19"/>
      <c r="Y13" s="7"/>
      <c r="Z13" s="7">
        <f>'E-CAP15, G-CAP-15'!X48</f>
        <v>0</v>
      </c>
      <c r="AA13" s="7">
        <f>'E-CAP15, G-CAP-15'!G48</f>
        <v>0</v>
      </c>
      <c r="AB13" s="119">
        <f>SUM(W13:AA13)</f>
        <v>0</v>
      </c>
      <c r="AD13" s="12">
        <f>SUM(J13,P13,AB13)</f>
        <v>6.2069999999999936</v>
      </c>
      <c r="AE13" s="38"/>
    </row>
    <row r="14" spans="1:31">
      <c r="A14" s="11" t="s">
        <v>3</v>
      </c>
      <c r="B14" s="20">
        <f t="shared" ref="B14:E14" si="3">SUM(B10:B13)</f>
        <v>13900</v>
      </c>
      <c r="C14" s="20">
        <f t="shared" si="3"/>
        <v>13094</v>
      </c>
      <c r="D14" s="20">
        <f t="shared" si="3"/>
        <v>806</v>
      </c>
      <c r="E14" s="20">
        <f t="shared" si="3"/>
        <v>0</v>
      </c>
      <c r="F14" s="20">
        <f>SUM(F10:F13)</f>
        <v>806</v>
      </c>
      <c r="G14" s="5">
        <f t="shared" ref="G14:P14" si="4">SUM(G10:G13)</f>
        <v>0</v>
      </c>
      <c r="H14" s="8">
        <f t="shared" si="4"/>
        <v>0</v>
      </c>
      <c r="I14" s="8">
        <f t="shared" si="4"/>
        <v>0</v>
      </c>
      <c r="J14" s="8">
        <f t="shared" si="4"/>
        <v>0</v>
      </c>
      <c r="K14" s="5">
        <f t="shared" si="4"/>
        <v>0</v>
      </c>
      <c r="L14" s="8">
        <f t="shared" si="4"/>
        <v>0</v>
      </c>
      <c r="M14" s="20">
        <f t="shared" si="4"/>
        <v>0</v>
      </c>
      <c r="N14" s="20">
        <f t="shared" ref="N14" si="5">SUM(N10:N13)</f>
        <v>-157.37040999999999</v>
      </c>
      <c r="O14" s="8">
        <f>SUM(O10:O13)</f>
        <v>473</v>
      </c>
      <c r="P14" s="20">
        <f t="shared" si="4"/>
        <v>315.62959000000001</v>
      </c>
      <c r="Q14" s="24"/>
      <c r="R14" s="120">
        <f t="shared" ref="R14" si="6">SUM(R10:R13)</f>
        <v>1121.62959</v>
      </c>
      <c r="S14" s="120">
        <f>SUM(S10:S13)</f>
        <v>13310</v>
      </c>
      <c r="T14" s="120">
        <f>SUM(T10:T13)</f>
        <v>-900.00000000000045</v>
      </c>
      <c r="U14" s="120">
        <f>SUM(U10:U13)</f>
        <v>221.62958999999961</v>
      </c>
      <c r="V14" s="24"/>
      <c r="W14" s="8">
        <f t="shared" ref="W14:AD14" si="7">SUM(W10:W13)</f>
        <v>0</v>
      </c>
      <c r="X14" s="20">
        <f t="shared" si="7"/>
        <v>0</v>
      </c>
      <c r="Y14" s="8">
        <f t="shared" si="7"/>
        <v>0</v>
      </c>
      <c r="Z14" s="8">
        <f t="shared" ref="Z14" si="8">SUM(Z10:Z13)</f>
        <v>0</v>
      </c>
      <c r="AA14" s="8">
        <f t="shared" si="7"/>
        <v>1379</v>
      </c>
      <c r="AB14" s="120">
        <f t="shared" si="7"/>
        <v>1379</v>
      </c>
      <c r="AC14" s="5">
        <f t="shared" si="7"/>
        <v>0</v>
      </c>
      <c r="AD14" s="8">
        <f t="shared" si="7"/>
        <v>1694.62959</v>
      </c>
      <c r="AE14" s="5"/>
    </row>
    <row r="15" spans="1:31">
      <c r="A15" s="11" t="s">
        <v>73</v>
      </c>
      <c r="B15" s="20">
        <v>545</v>
      </c>
      <c r="C15" s="20">
        <v>544</v>
      </c>
      <c r="D15" s="44">
        <f>B15-C15</f>
        <v>1</v>
      </c>
      <c r="E15" s="20"/>
      <c r="F15" s="20">
        <f>SUM(E15,D15)</f>
        <v>1</v>
      </c>
      <c r="G15" s="5"/>
      <c r="H15" s="8"/>
      <c r="I15" s="8"/>
      <c r="J15" s="8"/>
      <c r="K15" s="5"/>
      <c r="L15" s="8"/>
      <c r="M15" s="20"/>
      <c r="N15" s="20"/>
      <c r="O15" s="8"/>
      <c r="P15" s="20"/>
      <c r="Q15" s="24"/>
      <c r="R15" s="120"/>
      <c r="S15" s="120"/>
      <c r="T15" s="120"/>
      <c r="U15" s="120"/>
      <c r="V15" s="24"/>
      <c r="W15" s="8"/>
      <c r="X15" s="20"/>
      <c r="Y15" s="8"/>
      <c r="Z15" s="8"/>
      <c r="AA15" s="8"/>
      <c r="AB15" s="120"/>
      <c r="AC15" s="5"/>
      <c r="AD15" s="8"/>
      <c r="AE15" s="5"/>
    </row>
    <row r="16" spans="1:31">
      <c r="A16" t="s">
        <v>4</v>
      </c>
      <c r="B16" s="19">
        <f>-B14-B15</f>
        <v>-14445</v>
      </c>
      <c r="C16" s="19">
        <f>-C14-C15</f>
        <v>-13638</v>
      </c>
      <c r="D16" s="19">
        <f>-D14-D15</f>
        <v>-807</v>
      </c>
      <c r="E16" s="19">
        <f>-E14-E15</f>
        <v>0</v>
      </c>
      <c r="F16" s="19">
        <f>-F14-F15</f>
        <v>-807</v>
      </c>
      <c r="G16" s="5">
        <f t="shared" ref="G16:AD16" si="9">-G14</f>
        <v>0</v>
      </c>
      <c r="H16" s="7">
        <f>-H14</f>
        <v>0</v>
      </c>
      <c r="I16" s="7">
        <f t="shared" si="9"/>
        <v>0</v>
      </c>
      <c r="J16" s="7">
        <f t="shared" si="9"/>
        <v>0</v>
      </c>
      <c r="K16" s="5">
        <f t="shared" si="9"/>
        <v>0</v>
      </c>
      <c r="L16" s="7">
        <f t="shared" si="9"/>
        <v>0</v>
      </c>
      <c r="M16" s="19">
        <f t="shared" si="9"/>
        <v>0</v>
      </c>
      <c r="N16" s="19">
        <f t="shared" ref="N16" si="10">-N14</f>
        <v>157.37040999999999</v>
      </c>
      <c r="O16" s="7">
        <f>-O14</f>
        <v>-473</v>
      </c>
      <c r="P16" s="19">
        <f t="shared" si="9"/>
        <v>-315.62959000000001</v>
      </c>
      <c r="Q16" s="19"/>
      <c r="R16" s="119">
        <f t="shared" ref="R16:U16" si="11">-R14</f>
        <v>-1121.62959</v>
      </c>
      <c r="S16" s="119">
        <f t="shared" si="11"/>
        <v>-13310</v>
      </c>
      <c r="T16" s="119">
        <f t="shared" si="11"/>
        <v>900.00000000000045</v>
      </c>
      <c r="U16" s="119">
        <f t="shared" si="11"/>
        <v>-221.62958999999961</v>
      </c>
      <c r="V16" s="19"/>
      <c r="W16" s="7">
        <f>-W14</f>
        <v>0</v>
      </c>
      <c r="X16" s="19">
        <f>-X14</f>
        <v>0</v>
      </c>
      <c r="Y16" s="7">
        <f>-Y14</f>
        <v>0</v>
      </c>
      <c r="Z16" s="7">
        <f t="shared" ref="Z16" si="12">-Z14</f>
        <v>0</v>
      </c>
      <c r="AA16" s="7">
        <f>-AA14</f>
        <v>-1379</v>
      </c>
      <c r="AB16" s="119">
        <f>-AB14</f>
        <v>-1379</v>
      </c>
      <c r="AC16" s="5">
        <f t="shared" si="9"/>
        <v>0</v>
      </c>
      <c r="AD16" s="7">
        <f t="shared" si="9"/>
        <v>-1694.62959</v>
      </c>
      <c r="AE16" s="5"/>
    </row>
    <row r="17" spans="1:31">
      <c r="A17" t="s">
        <v>63</v>
      </c>
      <c r="B17" s="24">
        <f>(B14+B15)*0.35</f>
        <v>5055.75</v>
      </c>
      <c r="C17" s="24">
        <f>(C14+C15)*0.35</f>
        <v>4773.2999999999993</v>
      </c>
      <c r="D17" s="24">
        <f>(D14+D15)*0.35</f>
        <v>282.45</v>
      </c>
      <c r="E17" s="24">
        <f>(E14+E15)*0.35</f>
        <v>0</v>
      </c>
      <c r="F17" s="24">
        <f>(F14+F15)*0.35</f>
        <v>282.45</v>
      </c>
      <c r="H17" s="12"/>
      <c r="I17" s="5"/>
      <c r="L17" s="24">
        <f>(L14)*0.35</f>
        <v>0</v>
      </c>
      <c r="M17" s="24">
        <f>(M14)*0.35</f>
        <v>0</v>
      </c>
      <c r="N17" s="24">
        <f>(N14)*0.35</f>
        <v>-55.079643499999996</v>
      </c>
      <c r="O17" s="24">
        <f>(O14)*0.35</f>
        <v>165.54999999999998</v>
      </c>
      <c r="P17" s="19">
        <f>SUM(L17:O17)</f>
        <v>110.47035649999998</v>
      </c>
      <c r="Q17" s="19"/>
      <c r="R17" s="119">
        <f>R14*0.35</f>
        <v>392.5703565</v>
      </c>
      <c r="S17" s="119">
        <f t="shared" ref="S17:U17" si="13">S14*0.35</f>
        <v>4658.5</v>
      </c>
      <c r="T17" s="119">
        <f t="shared" si="13"/>
        <v>-315.00000000000011</v>
      </c>
      <c r="U17" s="119">
        <f t="shared" si="13"/>
        <v>77.57035649999986</v>
      </c>
      <c r="V17" s="19"/>
      <c r="W17" s="24">
        <f>(W14)*0.35</f>
        <v>0</v>
      </c>
      <c r="X17" s="24">
        <f>(X14)*0.35</f>
        <v>0</v>
      </c>
      <c r="Y17" s="24">
        <f>(Y14)*0.35</f>
        <v>0</v>
      </c>
      <c r="Z17" s="24">
        <f t="shared" ref="Z17" si="14">(Z14)*0.35</f>
        <v>0</v>
      </c>
      <c r="AA17" s="24">
        <f>(AA14)*0.35</f>
        <v>482.65</v>
      </c>
      <c r="AB17" s="119">
        <f>SUM(W17:AA17)</f>
        <v>482.65</v>
      </c>
      <c r="AD17" s="12">
        <f>SUM(J17,P17,AB17)</f>
        <v>593.12035649999996</v>
      </c>
      <c r="AE17" s="38"/>
    </row>
    <row r="18" spans="1:31" ht="13.5" thickBot="1">
      <c r="A18" t="s">
        <v>5</v>
      </c>
      <c r="B18" s="23">
        <f>SUM(B16:B17)</f>
        <v>-9389.25</v>
      </c>
      <c r="C18" s="23">
        <f t="shared" ref="C18:P18" si="15">SUM(C16:C17)</f>
        <v>-8864.7000000000007</v>
      </c>
      <c r="D18" s="23">
        <f t="shared" ref="D18" si="16">SUM(D16:D17)</f>
        <v>-524.54999999999995</v>
      </c>
      <c r="E18" s="23">
        <f t="shared" si="15"/>
        <v>0</v>
      </c>
      <c r="F18" s="23">
        <f>SUM(F16:F17)</f>
        <v>-524.54999999999995</v>
      </c>
      <c r="G18" s="5">
        <f t="shared" si="15"/>
        <v>0</v>
      </c>
      <c r="H18" s="2">
        <f t="shared" si="15"/>
        <v>0</v>
      </c>
      <c r="I18" s="2">
        <f t="shared" si="15"/>
        <v>0</v>
      </c>
      <c r="J18" s="2">
        <f t="shared" si="15"/>
        <v>0</v>
      </c>
      <c r="K18" s="5">
        <f t="shared" si="15"/>
        <v>0</v>
      </c>
      <c r="L18" s="2">
        <f t="shared" si="15"/>
        <v>0</v>
      </c>
      <c r="M18" s="23">
        <f t="shared" si="15"/>
        <v>0</v>
      </c>
      <c r="N18" s="23">
        <f t="shared" ref="N18" si="17">SUM(N16:N17)</f>
        <v>102.29076649999999</v>
      </c>
      <c r="O18" s="2">
        <f>SUM(O16:O17)</f>
        <v>-307.45000000000005</v>
      </c>
      <c r="P18" s="23">
        <f t="shared" si="15"/>
        <v>-205.15923350000003</v>
      </c>
      <c r="Q18" s="24"/>
      <c r="R18" s="123">
        <f t="shared" ref="R18:U18" si="18">SUM(R16:R17)</f>
        <v>-729.0592335</v>
      </c>
      <c r="S18" s="123">
        <f t="shared" si="18"/>
        <v>-8651.5</v>
      </c>
      <c r="T18" s="123">
        <f t="shared" si="18"/>
        <v>585.00000000000034</v>
      </c>
      <c r="U18" s="123">
        <f t="shared" si="18"/>
        <v>-144.05923349999975</v>
      </c>
      <c r="V18" s="24"/>
      <c r="W18" s="2">
        <f t="shared" ref="W18:AD18" si="19">SUM(W16:W17)</f>
        <v>0</v>
      </c>
      <c r="X18" s="23">
        <f t="shared" si="19"/>
        <v>0</v>
      </c>
      <c r="Y18" s="2">
        <f t="shared" si="19"/>
        <v>0</v>
      </c>
      <c r="Z18" s="2">
        <f t="shared" ref="Z18" si="20">SUM(Z16:Z17)</f>
        <v>0</v>
      </c>
      <c r="AA18" s="2">
        <f t="shared" si="19"/>
        <v>-896.35</v>
      </c>
      <c r="AB18" s="123">
        <f t="shared" si="19"/>
        <v>-896.35</v>
      </c>
      <c r="AC18" s="5">
        <f t="shared" si="19"/>
        <v>0</v>
      </c>
      <c r="AD18" s="2">
        <f t="shared" si="19"/>
        <v>-1101.5092334999999</v>
      </c>
      <c r="AE18" s="5"/>
    </row>
    <row r="19" spans="1:31">
      <c r="B19" s="19"/>
      <c r="C19" s="19"/>
      <c r="D19" s="19"/>
      <c r="E19" s="19"/>
      <c r="F19" s="19"/>
      <c r="I19" s="12"/>
      <c r="P19" s="21"/>
      <c r="R19" s="124"/>
      <c r="S19" s="124"/>
      <c r="T19" s="124"/>
      <c r="U19" s="124"/>
      <c r="AB19" s="124"/>
      <c r="AD19" s="12"/>
      <c r="AE19" s="38"/>
    </row>
    <row r="20" spans="1:31">
      <c r="B20" s="19"/>
      <c r="C20" s="19"/>
      <c r="D20" s="19"/>
      <c r="E20" s="19"/>
      <c r="F20" s="19"/>
      <c r="I20" s="12"/>
      <c r="P20" s="21"/>
      <c r="R20" s="124"/>
      <c r="S20" s="124"/>
      <c r="T20" s="124"/>
      <c r="U20" s="124"/>
      <c r="AB20" s="124"/>
      <c r="AD20" s="12"/>
      <c r="AE20" s="38"/>
    </row>
    <row r="21" spans="1:31">
      <c r="A21" t="s">
        <v>7</v>
      </c>
      <c r="B21" s="19"/>
      <c r="C21" s="19"/>
      <c r="D21" s="19"/>
      <c r="E21" s="19"/>
      <c r="F21" s="19"/>
      <c r="I21" s="12"/>
      <c r="P21" s="21"/>
      <c r="R21" s="124"/>
      <c r="S21" s="124"/>
      <c r="T21" s="124"/>
      <c r="U21" s="124"/>
      <c r="AB21" s="124"/>
      <c r="AD21" s="12"/>
      <c r="AE21" s="38"/>
    </row>
    <row r="22" spans="1:31">
      <c r="A22" s="11" t="s">
        <v>34</v>
      </c>
      <c r="B22" s="39">
        <v>12884</v>
      </c>
      <c r="C22" s="39">
        <v>11586</v>
      </c>
      <c r="D22" s="19">
        <f>B22-C22</f>
        <v>1298</v>
      </c>
      <c r="E22" s="19"/>
      <c r="F22" s="19">
        <f>SUM(D22,E22)</f>
        <v>1298</v>
      </c>
      <c r="H22" s="12">
        <f>C22</f>
        <v>11586</v>
      </c>
      <c r="I22" s="12">
        <f t="shared" ref="I22:I39" si="21">F22</f>
        <v>1298</v>
      </c>
      <c r="J22" s="12">
        <f>SUM(H22:I22)</f>
        <v>12884</v>
      </c>
      <c r="N22" s="19">
        <f>'E-CAP14, G-CAP14'!Z50</f>
        <v>-413</v>
      </c>
      <c r="O22" s="7">
        <f>('E-CAP14, G-CAP14'!C48+'E-CAP14, G-CAP14'!C49)</f>
        <v>1278.951180477336</v>
      </c>
      <c r="P22" s="19">
        <f>SUM(L22:O22)</f>
        <v>865.95118047733604</v>
      </c>
      <c r="Q22" s="19"/>
      <c r="R22" s="119">
        <f>P22+F22</f>
        <v>2163.951180477336</v>
      </c>
      <c r="S22" s="119">
        <f>'Recreate DR 131 Att. D Pg 13'!B24</f>
        <v>12069</v>
      </c>
      <c r="T22" s="250">
        <f>S22-(63057*(S22/(S22+S25)))</f>
        <v>-663.08527261472591</v>
      </c>
      <c r="U22" s="119">
        <f>T22+R22</f>
        <v>1500.8659078626101</v>
      </c>
      <c r="V22" s="19"/>
      <c r="Y22" s="7"/>
      <c r="Z22" s="7">
        <f>'E-CAP15, G-CAP-15'!W54</f>
        <v>0</v>
      </c>
      <c r="AA22" s="7">
        <f>('E-CAP15, G-CAP-15'!C54)</f>
        <v>13900.164881727984</v>
      </c>
      <c r="AB22" s="119">
        <f>SUM(W22:AA22)</f>
        <v>13900.164881727984</v>
      </c>
      <c r="AD22" s="12">
        <f>SUM(J22,P22,AB22)</f>
        <v>27650.116062205321</v>
      </c>
      <c r="AE22" s="38"/>
    </row>
    <row r="23" spans="1:31">
      <c r="A23" s="11" t="s">
        <v>50</v>
      </c>
      <c r="B23" s="39">
        <v>25103</v>
      </c>
      <c r="C23" s="39">
        <v>24932</v>
      </c>
      <c r="D23" s="19">
        <f>B23-C23</f>
        <v>171</v>
      </c>
      <c r="E23" s="19"/>
      <c r="F23" s="19">
        <f t="shared" ref="F23:F25" si="22">SUM(D23,E23)</f>
        <v>171</v>
      </c>
      <c r="H23" s="12">
        <f t="shared" ref="H23:H39" si="23">C23</f>
        <v>24932</v>
      </c>
      <c r="I23" s="12">
        <f t="shared" si="21"/>
        <v>171</v>
      </c>
      <c r="J23" s="12">
        <f t="shared" ref="J23:J39" si="24">SUM(H23:I23)</f>
        <v>25103</v>
      </c>
      <c r="N23" s="19">
        <v>0</v>
      </c>
      <c r="O23" s="7">
        <f>'E-CAP14, G-CAP14'!C36</f>
        <v>116.48481100680002</v>
      </c>
      <c r="P23" s="19">
        <f>SUM(L23:O23)</f>
        <v>116.48481100680002</v>
      </c>
      <c r="Q23" s="19"/>
      <c r="R23" s="119">
        <f>P23+F23</f>
        <v>287.48481100679999</v>
      </c>
      <c r="S23" s="119">
        <f>'Recreate DR 131 Att. D Pg 13'!B25</f>
        <v>25540</v>
      </c>
      <c r="T23" s="250">
        <f>S23-25219</f>
        <v>321</v>
      </c>
      <c r="U23" s="119">
        <f t="shared" ref="U23:U25" si="25">T23+R23</f>
        <v>608.48481100679999</v>
      </c>
      <c r="V23" s="19"/>
      <c r="Y23" s="7"/>
      <c r="Z23" s="7">
        <f>'E-CAP15, G-CAP-15'!W38</f>
        <v>0</v>
      </c>
      <c r="AA23" s="7">
        <f>'E-CAP15, G-CAP-15'!C38</f>
        <v>0</v>
      </c>
      <c r="AB23" s="119">
        <f>SUM(W23:AA23)</f>
        <v>0</v>
      </c>
      <c r="AD23" s="12">
        <f>SUM(J23,P23,AB23)</f>
        <v>25219.484811006801</v>
      </c>
      <c r="AE23" s="38"/>
    </row>
    <row r="24" spans="1:31">
      <c r="A24" s="11" t="s">
        <v>11</v>
      </c>
      <c r="B24" s="39">
        <v>344053</v>
      </c>
      <c r="C24" s="39">
        <v>332439</v>
      </c>
      <c r="D24" s="19">
        <f>B24-C24</f>
        <v>11614</v>
      </c>
      <c r="E24" s="39">
        <f>-4988+917-2523+2218</f>
        <v>-4376</v>
      </c>
      <c r="F24" s="19">
        <f t="shared" si="22"/>
        <v>7238</v>
      </c>
      <c r="H24" s="12">
        <f t="shared" si="23"/>
        <v>332439</v>
      </c>
      <c r="I24" s="12">
        <f t="shared" si="21"/>
        <v>7238</v>
      </c>
      <c r="J24" s="12">
        <f t="shared" si="24"/>
        <v>339677</v>
      </c>
      <c r="N24" s="19">
        <f>'E-CAP14, G-CAP14'!Z42</f>
        <v>-780</v>
      </c>
      <c r="O24" s="7">
        <f>'E-CAP14, G-CAP14'!C42</f>
        <v>5327.4306885220794</v>
      </c>
      <c r="P24" s="19">
        <f>SUM(L24:O24)</f>
        <v>4547.4306885220794</v>
      </c>
      <c r="Q24" s="19"/>
      <c r="R24" s="119">
        <f>P24+F24</f>
        <v>11785.430688522079</v>
      </c>
      <c r="S24" s="119">
        <f>'Recreate DR 131 Att. D Pg 13'!B26+'Recreate DR 131 Att. D Pg 13'!E26</f>
        <v>345718</v>
      </c>
      <c r="T24" s="250">
        <f>S24-344224</f>
        <v>1494</v>
      </c>
      <c r="U24" s="119">
        <f t="shared" si="25"/>
        <v>13279.430688522079</v>
      </c>
      <c r="V24" s="19"/>
      <c r="Y24" s="7"/>
      <c r="Z24" s="7">
        <f>'E-CAP15, G-CAP-15'!W44</f>
        <v>0</v>
      </c>
      <c r="AA24" s="7">
        <f>'E-CAP15, G-CAP-15'!C44</f>
        <v>4498.857</v>
      </c>
      <c r="AB24" s="119">
        <f>SUM(W24:AA24)</f>
        <v>4498.857</v>
      </c>
      <c r="AD24" s="12">
        <f>SUM(J24,P24,AB24)</f>
        <v>348723.28768852208</v>
      </c>
      <c r="AE24" s="38"/>
    </row>
    <row r="25" spans="1:31">
      <c r="A25" s="11" t="s">
        <v>36</v>
      </c>
      <c r="B25" s="39">
        <v>49495</v>
      </c>
      <c r="C25" s="39">
        <v>47093</v>
      </c>
      <c r="D25" s="19">
        <f>B25-C25</f>
        <v>2402</v>
      </c>
      <c r="E25" s="19"/>
      <c r="F25" s="19">
        <f t="shared" si="22"/>
        <v>2402</v>
      </c>
      <c r="H25" s="12">
        <f t="shared" si="23"/>
        <v>47093</v>
      </c>
      <c r="I25" s="12">
        <f t="shared" si="21"/>
        <v>2402</v>
      </c>
      <c r="J25" s="12">
        <f t="shared" si="24"/>
        <v>49495</v>
      </c>
      <c r="N25" s="19">
        <f>'E-CAP14, G-CAP14'!Z46</f>
        <v>-1265</v>
      </c>
      <c r="O25" s="7">
        <f>'E-CAP14, G-CAP14'!C46</f>
        <v>1076.150195958146</v>
      </c>
      <c r="P25" s="19">
        <f>SUM(L25:O25)</f>
        <v>-188.84980404185399</v>
      </c>
      <c r="Q25" s="19"/>
      <c r="R25" s="119">
        <f>P25+F25</f>
        <v>2213.150195958146</v>
      </c>
      <c r="S25" s="119">
        <f>'Recreate DR 131 Att. D Pg 13'!B27</f>
        <v>47704</v>
      </c>
      <c r="T25" s="250">
        <f>S25-(63057*(S25/(S22+S25)))</f>
        <v>-2620.9147273852723</v>
      </c>
      <c r="U25" s="119">
        <f t="shared" si="25"/>
        <v>-407.76453142712626</v>
      </c>
      <c r="V25" s="19"/>
      <c r="Y25" s="7"/>
      <c r="Z25" s="7">
        <f>'E-CAP15, G-CAP-15'!W48</f>
        <v>0</v>
      </c>
      <c r="AA25" s="7">
        <f>'E-CAP15, G-CAP-15'!C48</f>
        <v>0.4059602686803056</v>
      </c>
      <c r="AB25" s="119">
        <f>SUM(W25:AA25)</f>
        <v>0.4059602686803056</v>
      </c>
      <c r="AD25" s="12">
        <f>SUM(J25,P25,AB25)</f>
        <v>49306.556156226827</v>
      </c>
      <c r="AE25" s="38"/>
    </row>
    <row r="26" spans="1:31">
      <c r="A26" s="11" t="s">
        <v>37</v>
      </c>
      <c r="B26" s="20">
        <f>SUM(B22:B25)</f>
        <v>431535</v>
      </c>
      <c r="C26" s="20">
        <f t="shared" ref="C26:AD26" si="26">SUM(C22:C25)</f>
        <v>416050</v>
      </c>
      <c r="D26" s="20">
        <f t="shared" si="26"/>
        <v>15485</v>
      </c>
      <c r="E26" s="20">
        <f t="shared" si="26"/>
        <v>-4376</v>
      </c>
      <c r="F26" s="20">
        <f>SUM(F22:F25)</f>
        <v>11109</v>
      </c>
      <c r="G26" s="5">
        <f t="shared" si="26"/>
        <v>0</v>
      </c>
      <c r="H26" s="8">
        <f t="shared" si="26"/>
        <v>416050</v>
      </c>
      <c r="I26" s="8">
        <f t="shared" si="26"/>
        <v>11109</v>
      </c>
      <c r="J26" s="8">
        <f t="shared" si="26"/>
        <v>427159</v>
      </c>
      <c r="K26" s="5">
        <f t="shared" si="26"/>
        <v>0</v>
      </c>
      <c r="L26" s="20">
        <f>SUM(L22:L25)</f>
        <v>0</v>
      </c>
      <c r="M26" s="20">
        <f t="shared" si="26"/>
        <v>0</v>
      </c>
      <c r="N26" s="20">
        <f t="shared" si="26"/>
        <v>-2458</v>
      </c>
      <c r="O26" s="8">
        <f>SUM(O22:O25)</f>
        <v>7799.016875964362</v>
      </c>
      <c r="P26" s="20">
        <f t="shared" si="26"/>
        <v>5341.016875964362</v>
      </c>
      <c r="Q26" s="24"/>
      <c r="R26" s="120">
        <f t="shared" ref="R26:U26" si="27">SUM(R22:R25)</f>
        <v>16450.016875964364</v>
      </c>
      <c r="S26" s="120">
        <f t="shared" si="27"/>
        <v>431031</v>
      </c>
      <c r="T26" s="120">
        <f t="shared" si="27"/>
        <v>-1468.9999999999982</v>
      </c>
      <c r="U26" s="120">
        <f t="shared" si="27"/>
        <v>14981.016875964362</v>
      </c>
      <c r="V26" s="24"/>
      <c r="W26" s="20">
        <f>SUM(W22:W25)</f>
        <v>0</v>
      </c>
      <c r="X26" s="20">
        <f>SUM(X22:X25)</f>
        <v>0</v>
      </c>
      <c r="Y26" s="8">
        <f>SUM(Y22:Y25)</f>
        <v>0</v>
      </c>
      <c r="Z26" s="8">
        <f t="shared" ref="Z26" si="28">SUM(Z22:Z25)</f>
        <v>0</v>
      </c>
      <c r="AA26" s="8">
        <f>SUM(AA22:AA25)</f>
        <v>18399.427841996661</v>
      </c>
      <c r="AB26" s="120">
        <f>SUM(AB22:AB25)</f>
        <v>18399.427841996661</v>
      </c>
      <c r="AC26" s="5">
        <f t="shared" si="26"/>
        <v>0</v>
      </c>
      <c r="AD26" s="8">
        <f t="shared" si="26"/>
        <v>450899.44471796107</v>
      </c>
      <c r="AE26" s="5"/>
    </row>
    <row r="27" spans="1:31">
      <c r="A27" s="11"/>
      <c r="B27" s="127" t="s">
        <v>143</v>
      </c>
      <c r="C27" s="128" t="s">
        <v>144</v>
      </c>
      <c r="D27" s="129"/>
      <c r="E27" s="130" t="s">
        <v>91</v>
      </c>
      <c r="F27" s="24"/>
      <c r="G27" s="5"/>
      <c r="H27" s="5"/>
      <c r="I27" s="5"/>
      <c r="J27" s="5"/>
      <c r="K27" s="5"/>
      <c r="L27" s="24"/>
      <c r="M27" s="24"/>
      <c r="N27" s="24"/>
      <c r="O27" s="128" t="s">
        <v>90</v>
      </c>
      <c r="P27" s="24"/>
      <c r="Q27" s="24"/>
      <c r="R27" s="125"/>
      <c r="S27" s="125"/>
      <c r="T27" s="125"/>
      <c r="U27" s="125"/>
      <c r="V27" s="24"/>
      <c r="W27" s="24"/>
      <c r="X27" s="24"/>
      <c r="Y27" s="128" t="s">
        <v>90</v>
      </c>
      <c r="Z27" s="128"/>
      <c r="AA27" s="128" t="s">
        <v>90</v>
      </c>
      <c r="AB27" s="125"/>
      <c r="AC27" s="5"/>
      <c r="AD27" s="5"/>
      <c r="AE27" s="5"/>
    </row>
    <row r="28" spans="1:31">
      <c r="A28" t="s">
        <v>43</v>
      </c>
      <c r="F28" s="19"/>
      <c r="H28" s="12"/>
      <c r="I28" s="12"/>
      <c r="J28" s="12"/>
      <c r="L28" s="21"/>
      <c r="P28" s="21"/>
      <c r="R28" s="124"/>
      <c r="S28" s="124"/>
      <c r="T28" s="124"/>
      <c r="U28" s="124"/>
      <c r="W28" s="21"/>
      <c r="AB28" s="124"/>
      <c r="AD28" s="12" t="s">
        <v>51</v>
      </c>
      <c r="AE28" s="38"/>
    </row>
    <row r="29" spans="1:31">
      <c r="A29" s="11" t="s">
        <v>34</v>
      </c>
      <c r="B29" s="43">
        <f>-4935-203-169</f>
        <v>-5307</v>
      </c>
      <c r="C29" s="39">
        <f>-159-4280-169</f>
        <v>-4608</v>
      </c>
      <c r="D29" s="19">
        <f>B29-C29</f>
        <v>-699</v>
      </c>
      <c r="E29" s="19"/>
      <c r="F29" s="19">
        <f>SUM(D29,E29)</f>
        <v>-699</v>
      </c>
      <c r="H29" s="12">
        <f t="shared" si="23"/>
        <v>-4608</v>
      </c>
      <c r="I29" s="12">
        <f t="shared" si="21"/>
        <v>-699</v>
      </c>
      <c r="J29" s="12">
        <f t="shared" si="24"/>
        <v>-5307</v>
      </c>
      <c r="L29" s="19">
        <f>-B10/4</f>
        <v>-537.75</v>
      </c>
      <c r="N29" s="19">
        <f>-N22</f>
        <v>413</v>
      </c>
      <c r="O29" s="7">
        <f>-('E-CAP14, G-CAP14'!J48+'E-CAP14, G-CAP14'!J49)</f>
        <v>-20.633152614927987</v>
      </c>
      <c r="P29" s="19">
        <f>SUM(L29:O29)</f>
        <v>-145.38315261492798</v>
      </c>
      <c r="Q29" s="19"/>
      <c r="R29" s="119">
        <f>P29+F29</f>
        <v>-844.38315261492801</v>
      </c>
      <c r="S29" s="119">
        <f>'Recreate DR 131 Att. D Pg 13'!B31</f>
        <v>-4531</v>
      </c>
      <c r="T29" s="250">
        <f>S29+(18682*(S29/($S$29+$S$32)))</f>
        <v>333.27663486955498</v>
      </c>
      <c r="U29" s="119">
        <f>T29+R29</f>
        <v>-511.10651774537303</v>
      </c>
      <c r="V29" s="19"/>
      <c r="W29" s="19"/>
      <c r="Y29" s="7"/>
      <c r="Z29" s="7">
        <f>-Z22</f>
        <v>0</v>
      </c>
      <c r="AA29" s="7">
        <f>-('E-CAP15, G-CAP-15'!J54)</f>
        <v>-1057.5370056355596</v>
      </c>
      <c r="AB29" s="119">
        <f>SUM(W29:AA29)</f>
        <v>-1057.5370056355596</v>
      </c>
      <c r="AD29" s="12">
        <f>SUM(J29,P29,AB29)</f>
        <v>-6509.9201582504875</v>
      </c>
      <c r="AE29" s="38"/>
    </row>
    <row r="30" spans="1:31">
      <c r="A30" s="11" t="s">
        <v>50</v>
      </c>
      <c r="B30" s="39">
        <v>-9375</v>
      </c>
      <c r="C30" s="39">
        <v>-9177</v>
      </c>
      <c r="D30" s="19">
        <f>B30-C30</f>
        <v>-198</v>
      </c>
      <c r="E30" s="19"/>
      <c r="F30" s="19">
        <f t="shared" ref="F30:F32" si="29">SUM(D30,E30)</f>
        <v>-198</v>
      </c>
      <c r="H30" s="12">
        <f t="shared" si="23"/>
        <v>-9177</v>
      </c>
      <c r="I30" s="12">
        <f t="shared" si="21"/>
        <v>-198</v>
      </c>
      <c r="J30" s="12">
        <f t="shared" si="24"/>
        <v>-9375</v>
      </c>
      <c r="L30" s="19">
        <f>-B11/4</f>
        <v>-101</v>
      </c>
      <c r="N30" s="19">
        <f t="shared" ref="N30:N32" si="30">-N23</f>
        <v>0</v>
      </c>
      <c r="O30" s="7">
        <f>-'E-CAP14, G-CAP14'!J36</f>
        <v>-0.38448992845176005</v>
      </c>
      <c r="P30" s="19">
        <f>SUM(L30:O30)</f>
        <v>-101.38448992845176</v>
      </c>
      <c r="Q30" s="19"/>
      <c r="R30" s="119">
        <f>P30+F30</f>
        <v>-299.38448992845179</v>
      </c>
      <c r="S30" s="119">
        <f>'Recreate DR 131 Att. D Pg 13'!B32</f>
        <v>-9546</v>
      </c>
      <c r="T30" s="250">
        <f>S30+9644</f>
        <v>98</v>
      </c>
      <c r="U30" s="119">
        <f t="shared" ref="U30:U32" si="31">T30+R30</f>
        <v>-201.38448992845179</v>
      </c>
      <c r="V30" s="19"/>
      <c r="W30" s="19"/>
      <c r="Y30" s="7"/>
      <c r="Z30" s="7">
        <f t="shared" ref="Z30:Z32" si="32">-Z23</f>
        <v>0</v>
      </c>
      <c r="AA30" s="7">
        <f>-'E-CAP15, G-CAP-15'!J38</f>
        <v>0</v>
      </c>
      <c r="AB30" s="119">
        <f>SUM(W30:AA30)</f>
        <v>0</v>
      </c>
      <c r="AD30" s="12">
        <f>SUM(J30,P30,AB30)</f>
        <v>-9476.3844899284522</v>
      </c>
      <c r="AE30" s="38"/>
    </row>
    <row r="31" spans="1:31">
      <c r="A31" s="11" t="s">
        <v>11</v>
      </c>
      <c r="B31" s="39">
        <v>-116145</v>
      </c>
      <c r="C31" s="39">
        <v>-113282</v>
      </c>
      <c r="D31" s="19">
        <f>B31-C31</f>
        <v>-2863</v>
      </c>
      <c r="E31" s="19">
        <f>(102+23)/2</f>
        <v>62.5</v>
      </c>
      <c r="F31" s="19">
        <f t="shared" si="29"/>
        <v>-2800.5</v>
      </c>
      <c r="H31" s="12">
        <f t="shared" si="23"/>
        <v>-113282</v>
      </c>
      <c r="I31" s="12">
        <f t="shared" si="21"/>
        <v>-2800.5</v>
      </c>
      <c r="J31" s="12">
        <f t="shared" si="24"/>
        <v>-116082.5</v>
      </c>
      <c r="L31" s="19">
        <f>-B12/4</f>
        <v>-2167.75</v>
      </c>
      <c r="M31" s="19">
        <f>(124+63)/4</f>
        <v>46.75</v>
      </c>
      <c r="N31" s="19">
        <f t="shared" si="30"/>
        <v>780</v>
      </c>
      <c r="O31" s="7">
        <f>-'E-CAP14, G-CAP14'!J42</f>
        <v>-17.068165091588185</v>
      </c>
      <c r="P31" s="19">
        <f>SUM(L31:O31)</f>
        <v>-1358.0681650915881</v>
      </c>
      <c r="Q31" s="19"/>
      <c r="R31" s="119">
        <f>P31+F31</f>
        <v>-4158.5681650915885</v>
      </c>
      <c r="S31" s="119">
        <f>'Recreate DR 131 Att. D Pg 13'!B33+'Recreate DR 131 Att. D Pg 13'!E33</f>
        <v>-117692</v>
      </c>
      <c r="T31" s="250">
        <f>S31+117441</f>
        <v>-251</v>
      </c>
      <c r="U31" s="119">
        <f t="shared" si="31"/>
        <v>-4409.5681650915885</v>
      </c>
      <c r="V31" s="19"/>
      <c r="W31" s="19"/>
      <c r="X31" s="19"/>
      <c r="Y31" s="7"/>
      <c r="Z31" s="7">
        <f t="shared" si="32"/>
        <v>0</v>
      </c>
      <c r="AA31" s="7">
        <f>-'E-CAP15, G-CAP-15'!J44</f>
        <v>-76.746693450000009</v>
      </c>
      <c r="AB31" s="119">
        <f>SUM(W31:AA31)</f>
        <v>-76.746693450000009</v>
      </c>
      <c r="AD31" s="12">
        <f>SUM(J31,P31,AB31)</f>
        <v>-117517.31485854159</v>
      </c>
      <c r="AE31" s="38"/>
    </row>
    <row r="32" spans="1:31">
      <c r="A32" s="11" t="s">
        <v>36</v>
      </c>
      <c r="B32" s="39">
        <f>-13956-34</f>
        <v>-13990</v>
      </c>
      <c r="C32" s="39">
        <f>-12527-31</f>
        <v>-12558</v>
      </c>
      <c r="D32" s="19">
        <f>B32-C32</f>
        <v>-1432</v>
      </c>
      <c r="E32" s="19"/>
      <c r="F32" s="19">
        <f t="shared" si="29"/>
        <v>-1432</v>
      </c>
      <c r="H32" s="12">
        <f t="shared" si="23"/>
        <v>-12558</v>
      </c>
      <c r="I32" s="12">
        <f t="shared" si="21"/>
        <v>-1432</v>
      </c>
      <c r="J32" s="12">
        <f t="shared" si="24"/>
        <v>-13990</v>
      </c>
      <c r="L32" s="19">
        <f>-B13/4</f>
        <v>-668.5</v>
      </c>
      <c r="N32" s="19">
        <f t="shared" si="30"/>
        <v>1265</v>
      </c>
      <c r="O32" s="7">
        <f>-'E-CAP14, G-CAP14'!J46</f>
        <v>-4.1623572412083529</v>
      </c>
      <c r="P32" s="19">
        <f>SUM(L32:O32)</f>
        <v>592.33764275879162</v>
      </c>
      <c r="Q32" s="19"/>
      <c r="R32" s="119">
        <f>P32+F32</f>
        <v>-839.66235724120838</v>
      </c>
      <c r="S32" s="119">
        <f>'Recreate DR 131 Att. D Pg 13'!B34</f>
        <v>-12871</v>
      </c>
      <c r="T32" s="250">
        <f>S32+(18682*(S32/($S$29+$S$32)))</f>
        <v>946.72336513044502</v>
      </c>
      <c r="U32" s="119">
        <f t="shared" si="31"/>
        <v>107.06100788923663</v>
      </c>
      <c r="V32" s="19"/>
      <c r="W32" s="19"/>
      <c r="Y32" s="7"/>
      <c r="Z32" s="7">
        <f t="shared" si="32"/>
        <v>0</v>
      </c>
      <c r="AA32" s="7">
        <f>-'E-CAP15, G-CAP-15'!J48</f>
        <v>-1.4083438320967602E-2</v>
      </c>
      <c r="AB32" s="119">
        <f>SUM(W32:AA32)</f>
        <v>-1.4083438320967602E-2</v>
      </c>
      <c r="AD32" s="12">
        <f>SUM(J32,P32,AB32)</f>
        <v>-13397.676440679528</v>
      </c>
      <c r="AE32" s="38"/>
    </row>
    <row r="33" spans="1:31">
      <c r="A33" s="11" t="s">
        <v>38</v>
      </c>
      <c r="B33" s="20">
        <f>SUM(B29:B32)</f>
        <v>-144817</v>
      </c>
      <c r="C33" s="20">
        <f t="shared" ref="C33:AD33" si="33">SUM(C29:C32)</f>
        <v>-139625</v>
      </c>
      <c r="D33" s="20">
        <f t="shared" si="33"/>
        <v>-5192</v>
      </c>
      <c r="E33" s="20">
        <f t="shared" si="33"/>
        <v>62.5</v>
      </c>
      <c r="F33" s="20">
        <f>SUM(F29:F32)</f>
        <v>-5129.5</v>
      </c>
      <c r="G33" s="5">
        <f t="shared" si="33"/>
        <v>0</v>
      </c>
      <c r="H33" s="8">
        <f t="shared" si="33"/>
        <v>-139625</v>
      </c>
      <c r="I33" s="8">
        <f t="shared" si="33"/>
        <v>-5129.5</v>
      </c>
      <c r="J33" s="8">
        <f t="shared" si="33"/>
        <v>-144754.5</v>
      </c>
      <c r="K33" s="5">
        <f t="shared" si="33"/>
        <v>0</v>
      </c>
      <c r="L33" s="20">
        <f>-B10/2</f>
        <v>-1075.5</v>
      </c>
      <c r="M33" s="20">
        <f t="shared" si="33"/>
        <v>46.75</v>
      </c>
      <c r="N33" s="20">
        <f t="shared" si="33"/>
        <v>2458</v>
      </c>
      <c r="O33" s="8">
        <f t="shared" si="33"/>
        <v>-42.24816487617629</v>
      </c>
      <c r="P33" s="20">
        <f t="shared" si="33"/>
        <v>-1012.4981648761761</v>
      </c>
      <c r="Q33" s="24"/>
      <c r="R33" s="120">
        <f t="shared" ref="R33:U33" si="34">SUM(R29:R32)</f>
        <v>-6141.9981648761768</v>
      </c>
      <c r="S33" s="120">
        <f t="shared" si="34"/>
        <v>-144640</v>
      </c>
      <c r="T33" s="120">
        <f t="shared" si="34"/>
        <v>1127</v>
      </c>
      <c r="U33" s="120">
        <f t="shared" si="34"/>
        <v>-5014.9981648761768</v>
      </c>
      <c r="V33" s="24"/>
      <c r="W33" s="20">
        <f>SUM(W29:W32)</f>
        <v>0</v>
      </c>
      <c r="X33" s="20">
        <f>SUM(X29:X32)</f>
        <v>0</v>
      </c>
      <c r="Y33" s="8">
        <f>SUM(Y29:Y32)</f>
        <v>0</v>
      </c>
      <c r="Z33" s="8">
        <f t="shared" ref="Z33" si="35">SUM(Z29:Z32)</f>
        <v>0</v>
      </c>
      <c r="AA33" s="8">
        <f>SUM(AA29:AA32)</f>
        <v>-1134.2977825238806</v>
      </c>
      <c r="AB33" s="120">
        <f>SUM(AB29:AB32)</f>
        <v>-1134.2977825238806</v>
      </c>
      <c r="AC33" s="5">
        <f t="shared" si="33"/>
        <v>0</v>
      </c>
      <c r="AD33" s="8">
        <f t="shared" si="33"/>
        <v>-146901.29594740007</v>
      </c>
      <c r="AE33" s="5"/>
    </row>
    <row r="34" spans="1:31">
      <c r="A34" s="11"/>
      <c r="B34" s="127" t="s">
        <v>143</v>
      </c>
      <c r="C34" s="128" t="s">
        <v>144</v>
      </c>
      <c r="D34" s="129"/>
      <c r="E34" s="130" t="s">
        <v>91</v>
      </c>
      <c r="F34" s="24"/>
      <c r="G34" s="5"/>
      <c r="H34" s="5"/>
      <c r="I34" s="5"/>
      <c r="J34" s="5"/>
      <c r="K34" s="5"/>
      <c r="L34" s="24"/>
      <c r="M34" s="24"/>
      <c r="N34" s="24"/>
      <c r="O34" s="128" t="s">
        <v>90</v>
      </c>
      <c r="P34" s="24"/>
      <c r="Q34" s="24"/>
      <c r="R34" s="125"/>
      <c r="S34" s="125"/>
      <c r="T34" s="125"/>
      <c r="U34" s="125"/>
      <c r="V34" s="24"/>
      <c r="W34" s="24"/>
      <c r="X34" s="24"/>
      <c r="Y34" s="128" t="s">
        <v>90</v>
      </c>
      <c r="Z34" s="128"/>
      <c r="AA34" s="128" t="s">
        <v>90</v>
      </c>
      <c r="AB34" s="125"/>
      <c r="AC34" s="5"/>
      <c r="AD34" s="5"/>
      <c r="AE34" s="5"/>
    </row>
    <row r="35" spans="1:31">
      <c r="A35" t="s">
        <v>44</v>
      </c>
      <c r="B35" s="19"/>
      <c r="C35" s="19"/>
      <c r="D35" s="19"/>
      <c r="E35" s="19"/>
      <c r="F35" s="19"/>
      <c r="H35" s="12"/>
      <c r="I35" s="12"/>
      <c r="J35" s="12"/>
      <c r="L35" s="21"/>
      <c r="P35" s="21"/>
      <c r="R35" s="124"/>
      <c r="S35" s="124"/>
      <c r="T35" s="124"/>
      <c r="U35" s="124"/>
      <c r="W35" s="21"/>
      <c r="AB35" s="124"/>
      <c r="AD35" s="12"/>
      <c r="AE35" s="38"/>
    </row>
    <row r="36" spans="1:31">
      <c r="A36" s="11" t="s">
        <v>34</v>
      </c>
      <c r="B36" s="39">
        <v>-2830</v>
      </c>
      <c r="C36" s="39">
        <v>-1991</v>
      </c>
      <c r="D36" s="19">
        <f>B36-C36</f>
        <v>-839</v>
      </c>
      <c r="E36" s="19"/>
      <c r="F36" s="19">
        <f>SUM(D36,E36)</f>
        <v>-839</v>
      </c>
      <c r="H36" s="12">
        <f t="shared" si="23"/>
        <v>-1991</v>
      </c>
      <c r="I36" s="12">
        <f t="shared" si="21"/>
        <v>-839</v>
      </c>
      <c r="J36" s="12">
        <f t="shared" si="24"/>
        <v>-2830</v>
      </c>
      <c r="L36" s="22">
        <v>40</v>
      </c>
      <c r="O36" s="7"/>
      <c r="P36" s="19">
        <f>SUM(L36:O36)</f>
        <v>40</v>
      </c>
      <c r="Q36" s="19"/>
      <c r="R36" s="119">
        <f>P36+F36</f>
        <v>-799</v>
      </c>
      <c r="S36" s="119">
        <f>'Recreate DR 131 Att. D Pg 13'!B38</f>
        <v>-1864</v>
      </c>
      <c r="T36" s="250">
        <f>S36+(65703*(S36/$S$40))</f>
        <v>22.1040149076739</v>
      </c>
      <c r="U36" s="119">
        <f>T36+R36</f>
        <v>-776.8959850923261</v>
      </c>
      <c r="V36" s="19"/>
      <c r="W36" s="22"/>
      <c r="Y36" s="7"/>
      <c r="Z36" s="7"/>
      <c r="AA36" s="7">
        <f>(('E-CAP15, G-CAP-15'!S54))</f>
        <v>-1168</v>
      </c>
      <c r="AB36" s="119">
        <f>SUM(W36:AA36)</f>
        <v>-1168</v>
      </c>
      <c r="AD36" s="12">
        <f>SUM(J36,P36,AB36)</f>
        <v>-3958</v>
      </c>
      <c r="AE36" s="38"/>
    </row>
    <row r="37" spans="1:31">
      <c r="A37" s="11" t="s">
        <v>50</v>
      </c>
      <c r="B37" s="39">
        <v>-3296</v>
      </c>
      <c r="C37" s="39">
        <v>-3154</v>
      </c>
      <c r="D37" s="19">
        <f>B37-C37</f>
        <v>-142</v>
      </c>
      <c r="E37" s="19"/>
      <c r="F37" s="19">
        <f t="shared" ref="F37:F39" si="36">SUM(D37,E37)</f>
        <v>-142</v>
      </c>
      <c r="H37" s="12">
        <f t="shared" si="23"/>
        <v>-3154</v>
      </c>
      <c r="I37" s="12">
        <f t="shared" si="21"/>
        <v>-142</v>
      </c>
      <c r="J37" s="12">
        <f t="shared" si="24"/>
        <v>-3296</v>
      </c>
      <c r="L37" s="22">
        <v>-6</v>
      </c>
      <c r="O37" s="7"/>
      <c r="P37" s="19">
        <f>SUM(L37:O37)</f>
        <v>-6</v>
      </c>
      <c r="Q37" s="19"/>
      <c r="R37" s="119">
        <f>P37+F37</f>
        <v>-148</v>
      </c>
      <c r="S37" s="119">
        <f>'Recreate DR 131 Att. D Pg 13'!B39</f>
        <v>-3658</v>
      </c>
      <c r="T37" s="250">
        <f t="shared" ref="T37:T39" si="37">S37+(65703*(S37/$S$40))</f>
        <v>43.377943418600807</v>
      </c>
      <c r="U37" s="119">
        <f t="shared" ref="U37:U39" si="38">T37+R37</f>
        <v>-104.62205658139919</v>
      </c>
      <c r="V37" s="19"/>
      <c r="W37" s="22"/>
      <c r="Y37" s="7"/>
      <c r="Z37" s="7"/>
      <c r="AA37" s="7">
        <f>'E-CAP15, G-CAP-15'!S38</f>
        <v>0</v>
      </c>
      <c r="AB37" s="119">
        <f>SUM(W37:AA37)</f>
        <v>0</v>
      </c>
      <c r="AD37" s="12">
        <f>SUM(J37,P37,AB37)</f>
        <v>-3302</v>
      </c>
      <c r="AE37" s="38"/>
    </row>
    <row r="38" spans="1:31">
      <c r="A38" s="11" t="s">
        <v>11</v>
      </c>
      <c r="B38" s="39">
        <v>-46008</v>
      </c>
      <c r="C38" s="39">
        <v>-42779</v>
      </c>
      <c r="D38" s="19">
        <f>B38-C38</f>
        <v>-3229</v>
      </c>
      <c r="E38" s="19">
        <f>42/2+((45+14)/2)</f>
        <v>50.5</v>
      </c>
      <c r="F38" s="19">
        <f t="shared" si="36"/>
        <v>-3178.5</v>
      </c>
      <c r="H38" s="12">
        <f t="shared" si="23"/>
        <v>-42779</v>
      </c>
      <c r="I38" s="12">
        <f t="shared" si="21"/>
        <v>-3178.5</v>
      </c>
      <c r="J38" s="12">
        <f t="shared" si="24"/>
        <v>-45957.5</v>
      </c>
      <c r="L38" s="22">
        <v>-79</v>
      </c>
      <c r="M38" s="19">
        <f>49-43+55-45</f>
        <v>16</v>
      </c>
      <c r="N38" s="19"/>
      <c r="O38" s="7"/>
      <c r="P38" s="19">
        <f>SUM(L38:O38)</f>
        <v>-63</v>
      </c>
      <c r="Q38" s="19"/>
      <c r="R38" s="119">
        <f>P38+F38</f>
        <v>-3241.5</v>
      </c>
      <c r="S38" s="119">
        <f>'Recreate DR 131 Att. D Pg 13'!B40+'Recreate DR 131 Att. D Pg 13'!E40</f>
        <v>-49736</v>
      </c>
      <c r="T38" s="250">
        <f t="shared" si="37"/>
        <v>589.78824326614267</v>
      </c>
      <c r="U38" s="119">
        <f t="shared" si="38"/>
        <v>-2651.7117567338573</v>
      </c>
      <c r="V38" s="19"/>
      <c r="W38" s="22"/>
      <c r="X38" s="19"/>
      <c r="Y38" s="7"/>
      <c r="Z38" s="7"/>
      <c r="AA38" s="7">
        <f>'E-CAP15, G-CAP-15'!S44</f>
        <v>-32</v>
      </c>
      <c r="AB38" s="119">
        <f>SUM(W38:AA38)</f>
        <v>-32</v>
      </c>
      <c r="AD38" s="12">
        <f>SUM(J38,P38,AB38)</f>
        <v>-46052.5</v>
      </c>
      <c r="AE38" s="38"/>
    </row>
    <row r="39" spans="1:31">
      <c r="A39" s="11" t="s">
        <v>36</v>
      </c>
      <c r="B39" s="39">
        <v>-13775</v>
      </c>
      <c r="C39" s="39">
        <v>-10431</v>
      </c>
      <c r="D39" s="19">
        <f>B39-C39</f>
        <v>-3344</v>
      </c>
      <c r="E39" s="19"/>
      <c r="F39" s="19">
        <f t="shared" si="36"/>
        <v>-3344</v>
      </c>
      <c r="H39" s="12">
        <f t="shared" si="23"/>
        <v>-10431</v>
      </c>
      <c r="I39" s="12">
        <f t="shared" si="21"/>
        <v>-3344</v>
      </c>
      <c r="J39" s="12">
        <f t="shared" si="24"/>
        <v>-13775</v>
      </c>
      <c r="L39" s="22">
        <v>184</v>
      </c>
      <c r="O39" s="7"/>
      <c r="P39" s="19">
        <f>SUM(L39:O39)</f>
        <v>184</v>
      </c>
      <c r="Q39" s="19"/>
      <c r="R39" s="119">
        <f>P39+F39</f>
        <v>-3160</v>
      </c>
      <c r="S39" s="119">
        <f>'Recreate DR 131 Att. D Pg 13'!B41</f>
        <v>-9675</v>
      </c>
      <c r="T39" s="250">
        <f t="shared" si="37"/>
        <v>114.72979840759035</v>
      </c>
      <c r="U39" s="119">
        <f t="shared" si="38"/>
        <v>-3045.2702015924096</v>
      </c>
      <c r="V39" s="19"/>
      <c r="W39" s="22"/>
      <c r="Y39" s="7"/>
      <c r="Z39" s="7"/>
      <c r="AA39" s="7">
        <f>'E-CAP15, G-CAP-15'!S48</f>
        <v>0</v>
      </c>
      <c r="AB39" s="119">
        <f>SUM(W39:AA39)</f>
        <v>0</v>
      </c>
      <c r="AD39" s="12">
        <f>SUM(J39,P39,AB39)</f>
        <v>-13591</v>
      </c>
      <c r="AE39" s="38"/>
    </row>
    <row r="40" spans="1:31">
      <c r="A40" s="11" t="s">
        <v>42</v>
      </c>
      <c r="B40" s="20">
        <f>SUM(B36:B39)</f>
        <v>-65909</v>
      </c>
      <c r="C40" s="20">
        <f t="shared" ref="C40:AD40" si="39">SUM(C36:C39)</f>
        <v>-58355</v>
      </c>
      <c r="D40" s="20">
        <f t="shared" si="39"/>
        <v>-7554</v>
      </c>
      <c r="E40" s="20">
        <f t="shared" si="39"/>
        <v>50.5</v>
      </c>
      <c r="F40" s="20">
        <f>SUM(F36:F39)</f>
        <v>-7503.5</v>
      </c>
      <c r="G40" s="5">
        <f t="shared" si="39"/>
        <v>0</v>
      </c>
      <c r="H40" s="8">
        <f t="shared" si="39"/>
        <v>-58355</v>
      </c>
      <c r="I40" s="8">
        <f t="shared" si="39"/>
        <v>-7503.5</v>
      </c>
      <c r="J40" s="8">
        <f t="shared" si="39"/>
        <v>-65858.5</v>
      </c>
      <c r="K40" s="5">
        <f t="shared" si="39"/>
        <v>0</v>
      </c>
      <c r="L40" s="20">
        <f t="shared" si="39"/>
        <v>139</v>
      </c>
      <c r="M40" s="20">
        <f t="shared" si="39"/>
        <v>16</v>
      </c>
      <c r="N40" s="20">
        <f t="shared" ref="N40" si="40">SUM(N36:N39)</f>
        <v>0</v>
      </c>
      <c r="O40" s="8">
        <f t="shared" si="39"/>
        <v>0</v>
      </c>
      <c r="P40" s="20">
        <f t="shared" si="39"/>
        <v>155</v>
      </c>
      <c r="Q40" s="24"/>
      <c r="R40" s="120">
        <f t="shared" ref="R40:U40" si="41">SUM(R36:R39)</f>
        <v>-7348.5</v>
      </c>
      <c r="S40" s="120">
        <f t="shared" si="41"/>
        <v>-64933</v>
      </c>
      <c r="T40" s="120">
        <f t="shared" si="41"/>
        <v>770.00000000000773</v>
      </c>
      <c r="U40" s="120">
        <f t="shared" si="41"/>
        <v>-6578.4999999999927</v>
      </c>
      <c r="V40" s="24"/>
      <c r="W40" s="20">
        <f>SUM(W36:W39)</f>
        <v>0</v>
      </c>
      <c r="X40" s="20">
        <f>SUM(X36:X39)</f>
        <v>0</v>
      </c>
      <c r="Y40" s="8">
        <f>SUM(Y36:Y39)</f>
        <v>0</v>
      </c>
      <c r="Z40" s="8">
        <f t="shared" ref="Z40" si="42">SUM(Z36:Z39)</f>
        <v>0</v>
      </c>
      <c r="AA40" s="8">
        <f>SUM(AA36:AA39)</f>
        <v>-1200</v>
      </c>
      <c r="AB40" s="120">
        <f>SUM(AB36:AB39)</f>
        <v>-1200</v>
      </c>
      <c r="AC40" s="5">
        <f t="shared" si="39"/>
        <v>0</v>
      </c>
      <c r="AD40" s="8">
        <f t="shared" si="39"/>
        <v>-66903.5</v>
      </c>
      <c r="AE40" s="5"/>
    </row>
    <row r="41" spans="1:31">
      <c r="A41" s="11"/>
      <c r="B41" s="132" t="s">
        <v>111</v>
      </c>
      <c r="C41" s="132" t="s">
        <v>111</v>
      </c>
      <c r="D41" s="133"/>
      <c r="E41" s="130" t="s">
        <v>91</v>
      </c>
      <c r="F41" s="45"/>
      <c r="G41" s="5"/>
      <c r="H41" s="31"/>
      <c r="I41" s="31"/>
      <c r="J41" s="31"/>
      <c r="K41" s="5"/>
      <c r="L41" s="45"/>
      <c r="M41" s="45"/>
      <c r="N41" s="45"/>
      <c r="O41" s="128" t="s">
        <v>90</v>
      </c>
      <c r="P41" s="45"/>
      <c r="Q41" s="24"/>
      <c r="R41" s="131"/>
      <c r="S41" s="131"/>
      <c r="T41" s="131"/>
      <c r="U41" s="131"/>
      <c r="V41" s="24"/>
      <c r="W41" s="45"/>
      <c r="X41" s="45"/>
      <c r="Y41" s="128" t="s">
        <v>90</v>
      </c>
      <c r="Z41" s="128"/>
      <c r="AA41" s="128" t="s">
        <v>90</v>
      </c>
      <c r="AB41" s="131"/>
      <c r="AC41" s="5"/>
      <c r="AD41" s="31"/>
      <c r="AE41" s="5"/>
    </row>
    <row r="42" spans="1:31" ht="13.5" thickBot="1">
      <c r="A42" t="s">
        <v>6</v>
      </c>
      <c r="B42" s="23">
        <f t="shared" ref="B42:E42" si="43">B26+B33+B40</f>
        <v>220809</v>
      </c>
      <c r="C42" s="23">
        <f t="shared" si="43"/>
        <v>218070</v>
      </c>
      <c r="D42" s="23">
        <f t="shared" si="43"/>
        <v>2739</v>
      </c>
      <c r="E42" s="23">
        <f t="shared" si="43"/>
        <v>-4263</v>
      </c>
      <c r="F42" s="23">
        <f>F26+F33+F40</f>
        <v>-1524</v>
      </c>
      <c r="G42" s="5">
        <f>G26-G33+G40</f>
        <v>0</v>
      </c>
      <c r="H42" s="23">
        <f>H26+H33+H40</f>
        <v>218070</v>
      </c>
      <c r="I42" s="23">
        <f>I26+I33+I40</f>
        <v>-1524</v>
      </c>
      <c r="J42" s="23">
        <f>J26+J33+J40</f>
        <v>216546</v>
      </c>
      <c r="K42" s="5"/>
      <c r="L42" s="23">
        <f>L26+L33+L40</f>
        <v>-936.5</v>
      </c>
      <c r="M42" s="23">
        <f>M26+M33+M40</f>
        <v>62.75</v>
      </c>
      <c r="N42" s="23">
        <f>N26+N33+N40</f>
        <v>0</v>
      </c>
      <c r="O42" s="23">
        <f>O26+O33+O40</f>
        <v>7756.7687110881861</v>
      </c>
      <c r="P42" s="23">
        <f>P26+P33+P40</f>
        <v>4483.5187110881861</v>
      </c>
      <c r="Q42" s="24"/>
      <c r="R42" s="123">
        <f>R26+R33+R40</f>
        <v>2959.518711088187</v>
      </c>
      <c r="S42" s="123">
        <f t="shared" ref="S42:U42" si="44">S26+S33+S40</f>
        <v>221458</v>
      </c>
      <c r="T42" s="123">
        <f t="shared" si="44"/>
        <v>428.00000000000955</v>
      </c>
      <c r="U42" s="123">
        <f t="shared" si="44"/>
        <v>3387.5187110881925</v>
      </c>
      <c r="V42" s="24"/>
      <c r="W42" s="23">
        <f>W26+W33+W40</f>
        <v>0</v>
      </c>
      <c r="X42" s="23">
        <f>X26+X33+X40</f>
        <v>0</v>
      </c>
      <c r="Y42" s="23">
        <f>Y26+Y33+Y40</f>
        <v>0</v>
      </c>
      <c r="Z42" s="23">
        <f t="shared" ref="Z42" si="45">Z26+Z33+Z40</f>
        <v>0</v>
      </c>
      <c r="AA42" s="23">
        <f>AA26+AA33+AA40</f>
        <v>16065.13005947278</v>
      </c>
      <c r="AB42" s="123">
        <f>AB26+AB33+AB40</f>
        <v>16065.13005947278</v>
      </c>
      <c r="AC42" s="5"/>
      <c r="AD42" s="23">
        <f>AD26+AD33+AD40</f>
        <v>237094.64877056098</v>
      </c>
      <c r="AE42" s="5"/>
    </row>
    <row r="43" spans="1:31">
      <c r="B43" s="21"/>
      <c r="C43" s="21"/>
      <c r="D43" s="21"/>
      <c r="L43" s="21"/>
      <c r="W43" s="21"/>
    </row>
    <row r="44" spans="1:31">
      <c r="B44" s="24"/>
      <c r="C44" s="24"/>
      <c r="D44" s="17"/>
      <c r="E44" s="17"/>
      <c r="F44" s="1"/>
      <c r="L44" s="19"/>
      <c r="W44" s="255" t="s">
        <v>285</v>
      </c>
      <c r="X44" s="254"/>
      <c r="Y44" s="254"/>
      <c r="AD44" s="12">
        <f>SUM(J42,P42,AB42)</f>
        <v>237094.64877056098</v>
      </c>
      <c r="AE44" s="38"/>
    </row>
    <row r="45" spans="1:31">
      <c r="A45" s="1"/>
      <c r="B45" s="5"/>
      <c r="C45" s="5"/>
      <c r="D45" s="5"/>
      <c r="E45" s="24"/>
      <c r="F45" s="5"/>
      <c r="L45" s="21"/>
      <c r="W45" s="21"/>
    </row>
    <row r="46" spans="1:31" ht="30.75" customHeight="1">
      <c r="A46" s="262" t="s">
        <v>82</v>
      </c>
      <c r="B46" s="262"/>
      <c r="C46" s="262"/>
      <c r="D46" s="262"/>
      <c r="E46" s="262"/>
      <c r="F46" s="262"/>
      <c r="G46" s="262"/>
      <c r="H46" s="262"/>
      <c r="I46" s="262"/>
      <c r="J46" s="262"/>
      <c r="L46" t="s">
        <v>139</v>
      </c>
    </row>
    <row r="47" spans="1:31">
      <c r="A47" s="1"/>
      <c r="B47" s="5"/>
      <c r="C47" s="5"/>
      <c r="D47" s="5"/>
      <c r="E47" s="24"/>
      <c r="F47" s="5"/>
    </row>
    <row r="48" spans="1:31">
      <c r="A48" s="1"/>
      <c r="B48" s="5"/>
      <c r="C48" s="5"/>
      <c r="D48" s="5"/>
      <c r="E48" s="24"/>
      <c r="F48" s="5"/>
    </row>
    <row r="49" spans="1:6">
      <c r="A49" s="1"/>
      <c r="B49" s="1"/>
      <c r="C49" s="1"/>
      <c r="D49" s="1"/>
      <c r="E49" s="17"/>
      <c r="F49" s="1"/>
    </row>
    <row r="50" spans="1:6">
      <c r="A50" s="4"/>
      <c r="B50" s="1"/>
      <c r="C50" s="1"/>
      <c r="D50" s="1"/>
      <c r="E50" s="17"/>
      <c r="F50" s="1"/>
    </row>
    <row r="51" spans="1:6">
      <c r="A51" s="1"/>
      <c r="B51" s="5"/>
      <c r="C51" s="5"/>
      <c r="D51" s="5"/>
      <c r="E51" s="24"/>
      <c r="F51" s="5"/>
    </row>
    <row r="52" spans="1:6">
      <c r="A52" s="1"/>
      <c r="B52" s="5"/>
      <c r="C52" s="5"/>
      <c r="D52" s="5"/>
      <c r="E52" s="24"/>
      <c r="F52" s="5"/>
    </row>
    <row r="53" spans="1:6">
      <c r="A53" s="1"/>
      <c r="B53" s="5"/>
      <c r="C53" s="5"/>
      <c r="D53" s="5"/>
      <c r="E53" s="24"/>
      <c r="F53" s="5"/>
    </row>
    <row r="54" spans="1:6">
      <c r="A54" s="1"/>
      <c r="B54" s="5"/>
      <c r="C54" s="5"/>
      <c r="D54" s="5"/>
      <c r="E54" s="24"/>
      <c r="F54" s="5"/>
    </row>
    <row r="55" spans="1:6">
      <c r="A55" s="1"/>
      <c r="B55" s="5"/>
      <c r="C55" s="5"/>
      <c r="D55" s="5"/>
      <c r="E55" s="24"/>
      <c r="F55" s="5"/>
    </row>
    <row r="56" spans="1:6">
      <c r="A56" s="1"/>
      <c r="B56" s="5"/>
      <c r="C56" s="5"/>
      <c r="D56" s="5"/>
      <c r="E56" s="24"/>
      <c r="F56" s="5"/>
    </row>
    <row r="57" spans="1:6">
      <c r="A57" s="1"/>
      <c r="B57" s="5"/>
      <c r="C57" s="5"/>
      <c r="D57" s="5"/>
      <c r="E57" s="24"/>
      <c r="F57" s="5"/>
    </row>
    <row r="58" spans="1:6">
      <c r="A58" s="1"/>
      <c r="B58" s="5"/>
      <c r="C58" s="5"/>
      <c r="D58" s="5"/>
      <c r="E58" s="24"/>
      <c r="F58" s="5"/>
    </row>
    <row r="59" spans="1:6">
      <c r="A59" s="1"/>
      <c r="B59" s="5"/>
      <c r="C59" s="5"/>
      <c r="D59" s="5"/>
      <c r="E59" s="24"/>
      <c r="F59" s="5"/>
    </row>
    <row r="60" spans="1:6">
      <c r="A60" s="1"/>
      <c r="B60" s="5"/>
      <c r="C60" s="5"/>
      <c r="D60" s="5"/>
      <c r="E60" s="24"/>
      <c r="F60" s="5"/>
    </row>
    <row r="61" spans="1:6">
      <c r="A61" s="1"/>
      <c r="B61" s="5"/>
      <c r="C61" s="5"/>
      <c r="D61" s="5"/>
      <c r="E61" s="24"/>
      <c r="F61" s="5"/>
    </row>
    <row r="62" spans="1:6">
      <c r="A62" s="1"/>
      <c r="B62" s="5"/>
      <c r="C62" s="5"/>
      <c r="D62" s="5"/>
      <c r="E62" s="24"/>
      <c r="F62" s="5"/>
    </row>
    <row r="63" spans="1:6">
      <c r="A63" s="1"/>
      <c r="B63" s="1"/>
      <c r="C63" s="1"/>
      <c r="D63" s="1"/>
      <c r="E63" s="17"/>
      <c r="F63" s="1"/>
    </row>
    <row r="64" spans="1:6">
      <c r="A64" s="4"/>
      <c r="B64" s="1"/>
      <c r="C64" s="1"/>
      <c r="D64" s="1"/>
      <c r="E64" s="17"/>
      <c r="F64" s="1"/>
    </row>
    <row r="65" spans="1:6">
      <c r="A65" s="1"/>
      <c r="B65" s="5"/>
      <c r="C65" s="5"/>
      <c r="D65" s="5"/>
      <c r="E65" s="24"/>
      <c r="F65" s="5"/>
    </row>
    <row r="66" spans="1:6">
      <c r="A66" s="1"/>
      <c r="B66" s="5"/>
      <c r="C66" s="5"/>
      <c r="D66" s="5"/>
      <c r="E66" s="24"/>
      <c r="F66" s="5"/>
    </row>
    <row r="67" spans="1:6">
      <c r="A67" s="1"/>
      <c r="B67" s="5"/>
      <c r="C67" s="5"/>
      <c r="D67" s="5"/>
      <c r="E67" s="24"/>
      <c r="F67" s="5"/>
    </row>
    <row r="68" spans="1:6">
      <c r="A68" s="1"/>
      <c r="B68" s="5"/>
      <c r="C68" s="5"/>
      <c r="D68" s="5"/>
      <c r="E68" s="24"/>
      <c r="F68" s="5"/>
    </row>
    <row r="69" spans="1:6">
      <c r="A69" s="1"/>
      <c r="B69" s="5"/>
      <c r="C69" s="5"/>
      <c r="D69" s="5"/>
      <c r="E69" s="24"/>
      <c r="F69" s="5"/>
    </row>
    <row r="70" spans="1:6">
      <c r="A70" s="1"/>
      <c r="B70" s="5"/>
      <c r="C70" s="5"/>
      <c r="D70" s="5"/>
      <c r="E70" s="24"/>
      <c r="F70" s="5"/>
    </row>
    <row r="71" spans="1:6">
      <c r="A71" s="1"/>
      <c r="B71" s="5"/>
      <c r="C71" s="5"/>
      <c r="D71" s="5"/>
      <c r="E71" s="24"/>
      <c r="F71" s="5"/>
    </row>
    <row r="72" spans="1:6">
      <c r="A72" s="1"/>
      <c r="B72" s="5"/>
      <c r="C72" s="5"/>
      <c r="D72" s="5"/>
      <c r="E72" s="24"/>
      <c r="F72" s="5"/>
    </row>
    <row r="73" spans="1:6">
      <c r="A73" s="1"/>
      <c r="B73" s="5"/>
      <c r="C73" s="5"/>
      <c r="D73" s="5"/>
      <c r="E73" s="24"/>
      <c r="F73" s="5"/>
    </row>
    <row r="74" spans="1:6">
      <c r="A74" s="1"/>
      <c r="B74" s="5"/>
      <c r="C74" s="5"/>
      <c r="D74" s="5"/>
      <c r="E74" s="24"/>
      <c r="F74" s="5"/>
    </row>
    <row r="75" spans="1:6">
      <c r="A75" s="1"/>
      <c r="B75" s="5"/>
      <c r="C75" s="5"/>
      <c r="D75" s="5"/>
      <c r="E75" s="24"/>
      <c r="F75" s="5"/>
    </row>
    <row r="76" spans="1:6">
      <c r="A76" s="1"/>
      <c r="B76" s="5"/>
      <c r="C76" s="5"/>
      <c r="D76" s="5"/>
      <c r="E76" s="24"/>
      <c r="F76" s="5"/>
    </row>
  </sheetData>
  <mergeCells count="9">
    <mergeCell ref="A46:J46"/>
    <mergeCell ref="B3:F3"/>
    <mergeCell ref="H3:J3"/>
    <mergeCell ref="L3:P3"/>
    <mergeCell ref="W3:AB3"/>
    <mergeCell ref="S2:S3"/>
    <mergeCell ref="T2:T3"/>
    <mergeCell ref="U2:U3"/>
    <mergeCell ref="R2:R3"/>
  </mergeCells>
  <printOptions gridLines="1"/>
  <pageMargins left="0.25" right="0.25" top="1" bottom="1" header="0.5" footer="0.5"/>
  <pageSetup scale="63" fitToWidth="0" orientation="landscape" r:id="rId1"/>
  <headerFooter alignWithMargins="0">
    <oddFooter>&amp;L&amp;F
&amp;A&amp;RPage &amp;P of &amp;N
KKS &amp;D</oddFooter>
  </headerFooter>
  <colBreaks count="3" manualBreakCount="3">
    <brk id="10" max="1048575" man="1"/>
    <brk id="22" max="1048575" man="1"/>
    <brk id="3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7" workbookViewId="0">
      <selection activeCell="B26" sqref="B26"/>
    </sheetView>
  </sheetViews>
  <sheetFormatPr defaultRowHeight="12.75"/>
  <cols>
    <col min="1" max="1" width="40.7109375" bestFit="1" customWidth="1"/>
    <col min="2" max="2" width="15.85546875" bestFit="1" customWidth="1"/>
    <col min="3" max="3" width="16" bestFit="1" customWidth="1"/>
    <col min="4" max="4" width="14.140625" customWidth="1"/>
    <col min="5" max="5" width="13.7109375" bestFit="1" customWidth="1"/>
    <col min="6" max="6" width="11.140625" bestFit="1" customWidth="1"/>
  </cols>
  <sheetData>
    <row r="1" spans="1:6">
      <c r="A1" s="6" t="s">
        <v>2</v>
      </c>
      <c r="B1" s="263" t="s">
        <v>217</v>
      </c>
      <c r="C1" s="264"/>
      <c r="D1" s="264"/>
      <c r="E1" s="264"/>
      <c r="F1" s="265"/>
    </row>
    <row r="2" spans="1:6">
      <c r="A2" s="6" t="s">
        <v>8</v>
      </c>
      <c r="B2" s="266"/>
      <c r="C2" s="267"/>
      <c r="D2" s="267"/>
      <c r="E2" s="267"/>
      <c r="F2" s="268"/>
    </row>
    <row r="3" spans="1:6" ht="13.5" thickBot="1">
      <c r="A3" s="6" t="s">
        <v>48</v>
      </c>
      <c r="B3" s="269" t="s">
        <v>93</v>
      </c>
      <c r="C3" s="270"/>
      <c r="D3" s="270"/>
      <c r="E3" s="270"/>
      <c r="F3" s="271"/>
    </row>
    <row r="5" spans="1:6">
      <c r="B5" s="9" t="s">
        <v>39</v>
      </c>
      <c r="C5" s="9" t="s">
        <v>40</v>
      </c>
      <c r="D5" s="9" t="s">
        <v>75</v>
      </c>
      <c r="E5" s="98" t="s">
        <v>112</v>
      </c>
      <c r="F5" s="26">
        <v>2014</v>
      </c>
    </row>
    <row r="6" spans="1:6">
      <c r="A6" t="s">
        <v>83</v>
      </c>
    </row>
    <row r="7" spans="1:6">
      <c r="A7" t="s">
        <v>84</v>
      </c>
    </row>
    <row r="8" spans="1:6" ht="25.5">
      <c r="B8" s="9">
        <v>2014</v>
      </c>
      <c r="C8" s="9">
        <v>2014</v>
      </c>
      <c r="D8" s="100" t="s">
        <v>74</v>
      </c>
      <c r="E8" s="100" t="s">
        <v>41</v>
      </c>
      <c r="F8" s="100" t="s">
        <v>10</v>
      </c>
    </row>
    <row r="9" spans="1:6">
      <c r="A9" t="s">
        <v>62</v>
      </c>
    </row>
    <row r="10" spans="1:6">
      <c r="A10" s="11" t="s">
        <v>34</v>
      </c>
      <c r="B10" s="141">
        <v>1893</v>
      </c>
      <c r="C10" s="141">
        <v>1893</v>
      </c>
      <c r="D10" s="141">
        <f>B10-C10</f>
        <v>0</v>
      </c>
      <c r="E10" s="141"/>
      <c r="F10" s="141">
        <f>D10+E10</f>
        <v>0</v>
      </c>
    </row>
    <row r="11" spans="1:6">
      <c r="A11" s="11" t="s">
        <v>50</v>
      </c>
      <c r="B11" s="141">
        <v>402</v>
      </c>
      <c r="C11" s="141">
        <v>402</v>
      </c>
      <c r="D11" s="141"/>
      <c r="E11" s="141"/>
      <c r="F11" s="141">
        <f t="shared" ref="F11:F13" si="0">D11+E11</f>
        <v>0</v>
      </c>
    </row>
    <row r="12" spans="1:6">
      <c r="A12" s="11" t="s">
        <v>11</v>
      </c>
      <c r="B12" s="141">
        <v>8519</v>
      </c>
      <c r="C12" s="141">
        <v>8519</v>
      </c>
      <c r="D12" s="141">
        <f t="shared" ref="D12:D13" si="1">B12-C12</f>
        <v>0</v>
      </c>
      <c r="E12" s="141"/>
      <c r="F12" s="141">
        <f t="shared" si="0"/>
        <v>0</v>
      </c>
    </row>
    <row r="13" spans="1:6">
      <c r="A13" s="11" t="s">
        <v>36</v>
      </c>
      <c r="B13" s="141">
        <v>2496</v>
      </c>
      <c r="C13" s="141">
        <v>2496</v>
      </c>
      <c r="D13" s="141">
        <f t="shared" si="1"/>
        <v>0</v>
      </c>
      <c r="E13" s="141"/>
      <c r="F13" s="141">
        <f t="shared" si="0"/>
        <v>0</v>
      </c>
    </row>
    <row r="14" spans="1:6">
      <c r="A14" s="11" t="s">
        <v>72</v>
      </c>
      <c r="B14" s="142">
        <f>SUM(B10:B13)</f>
        <v>13310</v>
      </c>
      <c r="C14" s="142">
        <f>SUM(C10:C13)</f>
        <v>13310</v>
      </c>
      <c r="D14" s="142">
        <f>SUM(D10:D13)</f>
        <v>0</v>
      </c>
      <c r="E14" s="142">
        <f>SUM(E10:E13)</f>
        <v>0</v>
      </c>
      <c r="F14" s="142">
        <f>SUM(F10:F13)</f>
        <v>0</v>
      </c>
    </row>
    <row r="15" spans="1:6">
      <c r="A15" s="11"/>
      <c r="B15" s="142"/>
      <c r="C15" s="142"/>
      <c r="D15" s="142"/>
      <c r="E15" s="142"/>
      <c r="F15" s="142"/>
    </row>
    <row r="16" spans="1:6">
      <c r="A16" s="11" t="s">
        <v>71</v>
      </c>
      <c r="B16" s="142">
        <v>555</v>
      </c>
      <c r="C16" s="142">
        <v>547</v>
      </c>
      <c r="D16" s="142">
        <f>B16-C16</f>
        <v>8</v>
      </c>
      <c r="E16" s="142"/>
      <c r="F16" s="142">
        <f>D16+E16</f>
        <v>8</v>
      </c>
    </row>
    <row r="17" spans="1:6">
      <c r="B17" s="141"/>
      <c r="C17" s="141"/>
      <c r="D17" s="141"/>
      <c r="E17" s="141"/>
      <c r="F17" s="141"/>
    </row>
    <row r="18" spans="1:6">
      <c r="A18" t="s">
        <v>4</v>
      </c>
      <c r="B18" s="140">
        <f>-(B14+B16)</f>
        <v>-13865</v>
      </c>
      <c r="C18" s="140">
        <f>-(C14+C16)</f>
        <v>-13857</v>
      </c>
      <c r="D18" s="140">
        <f>-(D14+D16)</f>
        <v>-8</v>
      </c>
      <c r="E18" s="140"/>
      <c r="F18" s="141">
        <f t="shared" ref="F18:F19" si="2">D18+E18</f>
        <v>-8</v>
      </c>
    </row>
    <row r="19" spans="1:6">
      <c r="A19" t="s">
        <v>63</v>
      </c>
      <c r="B19" s="141">
        <f>-B18*0.35</f>
        <v>4852.75</v>
      </c>
      <c r="C19" s="141">
        <f>-C18*0.35</f>
        <v>4849.95</v>
      </c>
      <c r="D19" s="141">
        <f>-D18*0.35</f>
        <v>2.8</v>
      </c>
      <c r="E19" s="141"/>
      <c r="F19" s="141">
        <f t="shared" si="2"/>
        <v>2.8</v>
      </c>
    </row>
    <row r="20" spans="1:6" ht="13.5" thickBot="1">
      <c r="A20" t="s">
        <v>5</v>
      </c>
      <c r="B20" s="143">
        <f>B18+B19</f>
        <v>-9012.25</v>
      </c>
      <c r="C20" s="143">
        <f>C18+C19</f>
        <v>-9007.0499999999993</v>
      </c>
      <c r="D20" s="143">
        <f>D18+D19</f>
        <v>-5.2</v>
      </c>
      <c r="E20" s="143">
        <f>E18+E19</f>
        <v>0</v>
      </c>
      <c r="F20" s="143">
        <f>F18+F19</f>
        <v>-5.2</v>
      </c>
    </row>
    <row r="21" spans="1:6">
      <c r="B21" s="7"/>
      <c r="C21" s="7"/>
      <c r="D21" s="7"/>
      <c r="E21" s="7"/>
      <c r="F21" s="7"/>
    </row>
    <row r="22" spans="1:6">
      <c r="B22" s="7"/>
      <c r="C22" s="7"/>
      <c r="D22" s="7"/>
      <c r="E22" s="7"/>
      <c r="F22" s="7"/>
    </row>
    <row r="23" spans="1:6">
      <c r="A23" t="s">
        <v>7</v>
      </c>
      <c r="B23" s="7"/>
      <c r="D23" s="7"/>
      <c r="E23" s="7"/>
      <c r="F23" s="7"/>
    </row>
    <row r="24" spans="1:6">
      <c r="A24" s="11" t="s">
        <v>34</v>
      </c>
      <c r="B24" s="140">
        <v>12069</v>
      </c>
      <c r="C24" s="140">
        <v>11780</v>
      </c>
      <c r="D24" s="19">
        <f t="shared" ref="D24:D27" si="3">B24-C24</f>
        <v>289</v>
      </c>
      <c r="E24" s="19"/>
      <c r="F24" s="141">
        <f t="shared" ref="F24:F27" si="4">D24+E24</f>
        <v>289</v>
      </c>
    </row>
    <row r="25" spans="1:6">
      <c r="A25" s="11" t="s">
        <v>50</v>
      </c>
      <c r="B25" s="140">
        <v>25540</v>
      </c>
      <c r="C25" s="140">
        <v>25235</v>
      </c>
      <c r="D25" s="19">
        <f t="shared" si="3"/>
        <v>305</v>
      </c>
      <c r="E25" s="19"/>
      <c r="F25" s="141">
        <f t="shared" si="4"/>
        <v>305</v>
      </c>
    </row>
    <row r="26" spans="1:6">
      <c r="A26" s="11" t="s">
        <v>11</v>
      </c>
      <c r="B26" s="140">
        <v>349746</v>
      </c>
      <c r="C26" s="140">
        <v>337894</v>
      </c>
      <c r="D26" s="19">
        <f t="shared" si="3"/>
        <v>11852</v>
      </c>
      <c r="E26" s="19">
        <v>-4028</v>
      </c>
      <c r="F26" s="141">
        <f t="shared" si="4"/>
        <v>7824</v>
      </c>
    </row>
    <row r="27" spans="1:6">
      <c r="A27" s="11" t="s">
        <v>36</v>
      </c>
      <c r="B27" s="140">
        <v>47704</v>
      </c>
      <c r="C27" s="140">
        <v>47389</v>
      </c>
      <c r="D27" s="19">
        <f t="shared" si="3"/>
        <v>315</v>
      </c>
      <c r="E27" s="19"/>
      <c r="F27" s="141">
        <f t="shared" si="4"/>
        <v>315</v>
      </c>
    </row>
    <row r="28" spans="1:6">
      <c r="A28" s="11" t="s">
        <v>37</v>
      </c>
      <c r="B28" s="20">
        <f>SUM(B24:B27)</f>
        <v>435059</v>
      </c>
      <c r="C28" s="20">
        <f>SUM(C24:C27)</f>
        <v>422298</v>
      </c>
      <c r="D28" s="20">
        <f>SUM(D24:D27)</f>
        <v>12761</v>
      </c>
      <c r="E28" s="20">
        <f>SUM(E24:E27)</f>
        <v>-4028</v>
      </c>
      <c r="F28" s="20">
        <f>SUM(F24:F27)</f>
        <v>8733</v>
      </c>
    </row>
    <row r="29" spans="1:6">
      <c r="B29" s="127" t="s">
        <v>215</v>
      </c>
      <c r="C29" s="128" t="s">
        <v>216</v>
      </c>
      <c r="D29" s="129"/>
      <c r="E29" s="129"/>
      <c r="F29" s="129"/>
    </row>
    <row r="30" spans="1:6">
      <c r="A30" t="s">
        <v>43</v>
      </c>
      <c r="B30" s="19"/>
      <c r="C30" s="19"/>
      <c r="D30" s="19"/>
      <c r="E30" s="19"/>
      <c r="F30" s="19"/>
    </row>
    <row r="31" spans="1:6">
      <c r="A31" s="11" t="s">
        <v>34</v>
      </c>
      <c r="B31" s="140">
        <v>-4531</v>
      </c>
      <c r="C31" s="140">
        <v>-4742</v>
      </c>
      <c r="D31" s="19">
        <f t="shared" ref="D31:D34" si="5">B31-C31</f>
        <v>211</v>
      </c>
      <c r="E31" s="19"/>
      <c r="F31" s="141">
        <f t="shared" ref="F31:F34" si="6">D31+E31</f>
        <v>211</v>
      </c>
    </row>
    <row r="32" spans="1:6">
      <c r="A32" s="11" t="s">
        <v>50</v>
      </c>
      <c r="B32" s="140">
        <v>-9546</v>
      </c>
      <c r="C32" s="140">
        <v>-9351</v>
      </c>
      <c r="D32" s="19">
        <f t="shared" si="5"/>
        <v>-195</v>
      </c>
      <c r="E32" s="19"/>
      <c r="F32" s="141">
        <f t="shared" si="6"/>
        <v>-195</v>
      </c>
    </row>
    <row r="33" spans="1:6">
      <c r="A33" s="11" t="s">
        <v>11</v>
      </c>
      <c r="B33" s="140">
        <v>-117792</v>
      </c>
      <c r="C33" s="140">
        <v>-114794</v>
      </c>
      <c r="D33" s="19">
        <f t="shared" si="5"/>
        <v>-2998</v>
      </c>
      <c r="E33" s="19">
        <v>100</v>
      </c>
      <c r="F33" s="141">
        <f t="shared" si="6"/>
        <v>-2898</v>
      </c>
    </row>
    <row r="34" spans="1:6">
      <c r="A34" s="11" t="s">
        <v>36</v>
      </c>
      <c r="B34" s="140">
        <v>-12871</v>
      </c>
      <c r="C34" s="140">
        <v>-12857</v>
      </c>
      <c r="D34" s="19">
        <f t="shared" si="5"/>
        <v>-14</v>
      </c>
      <c r="E34" s="19"/>
      <c r="F34" s="141">
        <f t="shared" si="6"/>
        <v>-14</v>
      </c>
    </row>
    <row r="35" spans="1:6">
      <c r="A35" s="11" t="s">
        <v>38</v>
      </c>
      <c r="B35" s="20">
        <f>SUM(B31:B34)</f>
        <v>-144740</v>
      </c>
      <c r="C35" s="20">
        <f>SUM(C31:C34)</f>
        <v>-141744</v>
      </c>
      <c r="D35" s="20">
        <f>SUM(D31:D34)</f>
        <v>-2996</v>
      </c>
      <c r="E35" s="20">
        <f>SUM(E31:E34)</f>
        <v>100</v>
      </c>
      <c r="F35" s="20">
        <f>SUM(F31:F34)</f>
        <v>-2896</v>
      </c>
    </row>
    <row r="36" spans="1:6">
      <c r="B36" s="127" t="s">
        <v>215</v>
      </c>
      <c r="C36" s="127" t="s">
        <v>216</v>
      </c>
      <c r="D36" s="129"/>
      <c r="E36" s="129"/>
      <c r="F36" s="129"/>
    </row>
    <row r="37" spans="1:6">
      <c r="A37" t="s">
        <v>44</v>
      </c>
      <c r="B37" s="19"/>
      <c r="C37" s="19"/>
      <c r="D37" s="19"/>
      <c r="E37" s="19"/>
      <c r="F37" s="19"/>
    </row>
    <row r="38" spans="1:6">
      <c r="A38" s="11" t="s">
        <v>34</v>
      </c>
      <c r="B38" s="140">
        <v>-1864</v>
      </c>
      <c r="C38" s="140">
        <v>-2364</v>
      </c>
      <c r="D38" s="19">
        <f t="shared" ref="D38:D41" si="7">B38-C38</f>
        <v>500</v>
      </c>
      <c r="E38" s="19"/>
      <c r="F38" s="141">
        <f t="shared" ref="F38:F41" si="8">D38+E38</f>
        <v>500</v>
      </c>
    </row>
    <row r="39" spans="1:6">
      <c r="A39" s="11" t="s">
        <v>50</v>
      </c>
      <c r="B39" s="140">
        <v>-3658</v>
      </c>
      <c r="C39" s="140">
        <v>-2770</v>
      </c>
      <c r="D39" s="19">
        <f t="shared" si="7"/>
        <v>-888</v>
      </c>
      <c r="E39" s="19"/>
      <c r="F39" s="141">
        <f t="shared" si="8"/>
        <v>-888</v>
      </c>
    </row>
    <row r="40" spans="1:6">
      <c r="A40" s="11" t="s">
        <v>11</v>
      </c>
      <c r="B40" s="140">
        <v>-49770</v>
      </c>
      <c r="C40" s="140">
        <v>-37684</v>
      </c>
      <c r="D40" s="19">
        <f t="shared" si="7"/>
        <v>-12086</v>
      </c>
      <c r="E40" s="19">
        <v>34</v>
      </c>
      <c r="F40" s="141">
        <f t="shared" si="8"/>
        <v>-12052</v>
      </c>
    </row>
    <row r="41" spans="1:6">
      <c r="A41" s="11" t="s">
        <v>36</v>
      </c>
      <c r="B41" s="140">
        <v>-9675</v>
      </c>
      <c r="C41" s="140">
        <v>-11835</v>
      </c>
      <c r="D41" s="19">
        <f t="shared" si="7"/>
        <v>2160</v>
      </c>
      <c r="E41" s="19"/>
      <c r="F41" s="141">
        <f t="shared" si="8"/>
        <v>2160</v>
      </c>
    </row>
    <row r="42" spans="1:6">
      <c r="A42" s="11" t="s">
        <v>42</v>
      </c>
      <c r="B42" s="20">
        <f>SUM(B38:B41)</f>
        <v>-64967</v>
      </c>
      <c r="C42" s="20">
        <f>SUM(C38:C41)</f>
        <v>-54653</v>
      </c>
      <c r="D42" s="20">
        <f>SUM(D38:D41)</f>
        <v>-10314</v>
      </c>
      <c r="E42" s="20">
        <f>SUM(E38:E41)</f>
        <v>34</v>
      </c>
      <c r="F42" s="20">
        <f>SUM(F38:F41)</f>
        <v>-10280</v>
      </c>
    </row>
    <row r="43" spans="1:6">
      <c r="B43" s="132" t="s">
        <v>111</v>
      </c>
      <c r="C43" s="132" t="s">
        <v>111</v>
      </c>
      <c r="D43" s="133"/>
      <c r="E43" s="133"/>
      <c r="F43" s="133"/>
    </row>
    <row r="44" spans="1:6" ht="13.5" thickBot="1">
      <c r="A44" t="s">
        <v>6</v>
      </c>
      <c r="B44" s="23">
        <f>B28+B35+B42</f>
        <v>225352</v>
      </c>
      <c r="C44" s="23">
        <f>C28+C35+C42</f>
        <v>225901</v>
      </c>
      <c r="D44" s="23">
        <f>D28+D35+D42</f>
        <v>-549</v>
      </c>
      <c r="E44" s="23">
        <f>E28+E35+E42</f>
        <v>-3894</v>
      </c>
      <c r="F44" s="23">
        <f>F28+F35+F42</f>
        <v>-4443</v>
      </c>
    </row>
    <row r="45" spans="1:6">
      <c r="C45" s="104"/>
    </row>
  </sheetData>
  <mergeCells count="2">
    <mergeCell ref="B1:F2"/>
    <mergeCell ref="B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8"/>
  <sheetViews>
    <sheetView topLeftCell="A16" zoomScale="90" zoomScaleNormal="90" workbookViewId="0">
      <selection activeCell="Y42" sqref="Y42"/>
    </sheetView>
  </sheetViews>
  <sheetFormatPr defaultRowHeight="12.75"/>
  <cols>
    <col min="1" max="1" width="21.28515625" style="49" bestFit="1" customWidth="1"/>
    <col min="2" max="2" width="8.5703125" style="49" bestFit="1" customWidth="1"/>
    <col min="3" max="3" width="11.5703125" style="47" bestFit="1" customWidth="1"/>
    <col min="4" max="4" width="8.5703125" style="47" bestFit="1" customWidth="1"/>
    <col min="5" max="5" width="11.28515625" style="47" bestFit="1" customWidth="1"/>
    <col min="6" max="6" width="10.85546875" style="48" bestFit="1" customWidth="1"/>
    <col min="7" max="7" width="16" style="49" customWidth="1"/>
    <col min="8" max="8" width="2.7109375" style="50" customWidth="1"/>
    <col min="9" max="9" width="7.5703125" style="47" customWidth="1"/>
    <col min="10" max="10" width="8.85546875" style="47" bestFit="1" customWidth="1"/>
    <col min="11" max="11" width="9.7109375" style="49" bestFit="1" customWidth="1"/>
    <col min="12" max="12" width="10.140625" style="49" bestFit="1" customWidth="1"/>
    <col min="13" max="13" width="11.140625" style="49" bestFit="1" customWidth="1"/>
    <col min="14" max="14" width="2.7109375" style="50" customWidth="1"/>
    <col min="15" max="15" width="12.42578125" style="49" hidden="1" customWidth="1"/>
    <col min="16" max="18" width="12" style="49" hidden="1" customWidth="1"/>
    <col min="19" max="19" width="2.7109375" style="51" hidden="1" customWidth="1"/>
    <col min="20" max="20" width="8.42578125" style="47" hidden="1" customWidth="1"/>
    <col min="21" max="21" width="9.140625" style="47" hidden="1" customWidth="1"/>
    <col min="22" max="23" width="10.42578125" style="49" hidden="1" customWidth="1"/>
    <col min="24" max="24" width="10.85546875" style="49" hidden="1" customWidth="1"/>
    <col min="25" max="25" width="9.140625" style="49"/>
    <col min="26" max="26" width="13.28515625" style="49" customWidth="1"/>
    <col min="27" max="27" width="11.7109375" style="49" customWidth="1"/>
    <col min="28" max="16384" width="9.140625" style="49"/>
  </cols>
  <sheetData>
    <row r="1" spans="1:27">
      <c r="A1" s="46" t="s">
        <v>80</v>
      </c>
      <c r="B1" s="46"/>
    </row>
    <row r="2" spans="1:27">
      <c r="A2" s="88" t="s">
        <v>103</v>
      </c>
      <c r="B2" s="88"/>
    </row>
    <row r="3" spans="1:27">
      <c r="A3" s="52" t="s">
        <v>104</v>
      </c>
      <c r="B3" s="52"/>
    </row>
    <row r="4" spans="1:27" s="57" customFormat="1" ht="25.5">
      <c r="A4" s="53"/>
      <c r="B4" s="53"/>
      <c r="C4" s="54"/>
      <c r="D4" s="54"/>
      <c r="E4" s="53"/>
      <c r="F4" s="55"/>
      <c r="G4" s="56" t="s">
        <v>32</v>
      </c>
      <c r="H4" s="56"/>
      <c r="I4" s="53"/>
      <c r="J4" s="53"/>
      <c r="O4" s="58" t="s">
        <v>0</v>
      </c>
      <c r="P4" s="58" t="s">
        <v>1</v>
      </c>
      <c r="Q4" s="58" t="s">
        <v>69</v>
      </c>
      <c r="R4" s="58" t="s">
        <v>70</v>
      </c>
      <c r="S4" s="59"/>
      <c r="T4" s="53"/>
      <c r="U4" s="53"/>
    </row>
    <row r="5" spans="1:27" s="50" customFormat="1">
      <c r="A5" s="51"/>
      <c r="B5" s="51"/>
      <c r="C5" s="52"/>
      <c r="D5" s="52"/>
      <c r="E5" s="51"/>
      <c r="F5" s="60"/>
      <c r="G5" s="61" t="s">
        <v>33</v>
      </c>
      <c r="H5" s="61"/>
      <c r="I5" s="51"/>
      <c r="J5" s="51"/>
      <c r="O5" s="62">
        <v>3.7499999999999999E-2</v>
      </c>
      <c r="P5" s="62">
        <v>7.2190000000000004E-2</v>
      </c>
      <c r="Q5" s="63">
        <v>6.6769999999999996E-2</v>
      </c>
      <c r="R5" s="63">
        <v>6.1769999999999999E-2</v>
      </c>
      <c r="S5" s="63"/>
      <c r="T5" s="51"/>
      <c r="U5" s="51"/>
    </row>
    <row r="6" spans="1:27" s="50" customFormat="1">
      <c r="A6" s="52"/>
      <c r="B6" s="52"/>
      <c r="C6" s="52"/>
      <c r="D6" s="52"/>
      <c r="E6" s="51"/>
      <c r="F6" s="60"/>
      <c r="G6" s="61" t="s">
        <v>13</v>
      </c>
      <c r="H6" s="61"/>
      <c r="I6" s="51"/>
      <c r="J6" s="51"/>
      <c r="O6" s="64">
        <v>0.14280000000000001</v>
      </c>
      <c r="P6" s="64">
        <v>0.24490000000000001</v>
      </c>
      <c r="Q6" s="65">
        <v>0.1749</v>
      </c>
      <c r="R6" s="65">
        <v>0.1249</v>
      </c>
      <c r="S6" s="65"/>
      <c r="T6" s="51"/>
      <c r="U6" s="51"/>
    </row>
    <row r="7" spans="1:27" s="50" customFormat="1">
      <c r="A7" s="52"/>
      <c r="B7" s="52"/>
      <c r="C7" s="52"/>
      <c r="D7" s="52"/>
      <c r="E7" s="51"/>
      <c r="F7" s="60"/>
      <c r="G7" s="61" t="s">
        <v>107</v>
      </c>
      <c r="H7" s="61"/>
      <c r="I7" s="51"/>
      <c r="J7" s="51"/>
      <c r="O7" s="64">
        <v>0.2</v>
      </c>
      <c r="P7" s="64">
        <v>0.32</v>
      </c>
      <c r="Q7" s="65">
        <v>0.192</v>
      </c>
      <c r="R7" s="65">
        <v>0.1152</v>
      </c>
      <c r="S7" s="65"/>
      <c r="T7" s="51"/>
      <c r="U7" s="51"/>
    </row>
    <row r="8" spans="1:27" s="50" customFormat="1">
      <c r="A8" s="52"/>
      <c r="B8" s="52"/>
      <c r="C8" s="52"/>
      <c r="D8" s="52"/>
      <c r="E8" s="51"/>
      <c r="F8" s="60"/>
      <c r="G8" s="61" t="s">
        <v>24</v>
      </c>
      <c r="H8" s="61"/>
      <c r="I8" s="51"/>
      <c r="J8" s="51"/>
      <c r="O8" s="64">
        <v>0.33329999999999999</v>
      </c>
      <c r="P8" s="64">
        <v>0.44450000000000001</v>
      </c>
      <c r="Q8" s="65">
        <v>0.14810000000000001</v>
      </c>
      <c r="R8" s="65">
        <v>7.4099999999999999E-2</v>
      </c>
      <c r="S8" s="65"/>
      <c r="T8" s="51"/>
      <c r="U8" s="51"/>
    </row>
    <row r="9" spans="1:27" s="50" customFormat="1">
      <c r="A9" s="51"/>
      <c r="B9" s="51"/>
      <c r="C9" s="51"/>
      <c r="D9" s="51"/>
      <c r="E9" s="51"/>
      <c r="F9" s="60"/>
      <c r="I9" s="51"/>
      <c r="J9" s="51"/>
      <c r="P9" s="51"/>
      <c r="Q9" s="51"/>
      <c r="R9" s="51"/>
      <c r="S9" s="51"/>
      <c r="T9" s="51"/>
      <c r="U9" s="51"/>
    </row>
    <row r="10" spans="1:27" s="50" customFormat="1">
      <c r="A10" s="51"/>
      <c r="B10" s="51"/>
      <c r="C10" s="51"/>
      <c r="D10" s="51"/>
      <c r="E10" s="51"/>
      <c r="F10" s="60"/>
      <c r="I10" s="274" t="s">
        <v>59</v>
      </c>
      <c r="J10" s="275"/>
      <c r="K10" s="275"/>
      <c r="L10" s="275"/>
      <c r="M10" s="276"/>
      <c r="N10" s="66"/>
      <c r="O10" s="272" t="s">
        <v>76</v>
      </c>
      <c r="P10" s="277"/>
      <c r="Q10" s="277"/>
      <c r="R10" s="273"/>
      <c r="S10" s="66"/>
      <c r="T10" s="272" t="s">
        <v>77</v>
      </c>
      <c r="U10" s="277"/>
      <c r="V10" s="277"/>
      <c r="W10" s="277"/>
      <c r="X10" s="273"/>
      <c r="Z10" s="272" t="s">
        <v>133</v>
      </c>
      <c r="AA10" s="273"/>
    </row>
    <row r="11" spans="1:27" s="59" customFormat="1" ht="38.25">
      <c r="A11" s="67" t="s">
        <v>9</v>
      </c>
      <c r="B11" s="67"/>
      <c r="C11" s="67" t="s">
        <v>29</v>
      </c>
      <c r="D11" s="67"/>
      <c r="E11" s="67" t="s">
        <v>30</v>
      </c>
      <c r="F11" s="68" t="s">
        <v>31</v>
      </c>
      <c r="G11" s="69" t="s">
        <v>14</v>
      </c>
      <c r="H11" s="69"/>
      <c r="I11" s="70" t="s">
        <v>97</v>
      </c>
      <c r="J11" s="70" t="s">
        <v>65</v>
      </c>
      <c r="K11" s="70" t="s">
        <v>68</v>
      </c>
      <c r="L11" s="70" t="s">
        <v>78</v>
      </c>
      <c r="M11" s="70" t="s">
        <v>105</v>
      </c>
      <c r="N11" s="70"/>
      <c r="O11" s="70">
        <v>2014</v>
      </c>
      <c r="P11" s="70">
        <v>2015</v>
      </c>
      <c r="Q11" s="70">
        <v>2016</v>
      </c>
      <c r="R11" s="70">
        <v>2017</v>
      </c>
      <c r="S11" s="70"/>
      <c r="T11" s="70" t="s">
        <v>97</v>
      </c>
      <c r="U11" s="70" t="s">
        <v>65</v>
      </c>
      <c r="V11" s="70" t="s">
        <v>68</v>
      </c>
      <c r="W11" s="70" t="s">
        <v>78</v>
      </c>
      <c r="X11" s="70" t="s">
        <v>105</v>
      </c>
      <c r="Z11" s="70" t="s">
        <v>133</v>
      </c>
      <c r="AA11" s="70" t="s">
        <v>137</v>
      </c>
    </row>
    <row r="12" spans="1:27">
      <c r="A12" s="47" t="s">
        <v>15</v>
      </c>
      <c r="B12" s="47"/>
      <c r="P12" s="47"/>
      <c r="Q12" s="47"/>
      <c r="R12" s="47"/>
    </row>
    <row r="13" spans="1:27">
      <c r="A13" s="47" t="s">
        <v>16</v>
      </c>
      <c r="B13" s="47"/>
      <c r="C13" s="71">
        <f>[1]CAP14!C13</f>
        <v>1603.2157143000002</v>
      </c>
      <c r="D13" s="71"/>
      <c r="E13" s="71">
        <f>[1]CAP14!E13</f>
        <v>126.27957616249998</v>
      </c>
      <c r="F13" s="60">
        <v>1.9199999999999998E-2</v>
      </c>
      <c r="G13" s="72">
        <f>ROUND(C13*F13,0)</f>
        <v>31</v>
      </c>
      <c r="H13" s="72"/>
      <c r="I13" s="73">
        <v>0</v>
      </c>
      <c r="J13" s="73">
        <f>F13*E13</f>
        <v>2.4245678623199995</v>
      </c>
      <c r="K13" s="61">
        <f>J13+G13</f>
        <v>33.424567862319996</v>
      </c>
      <c r="L13" s="61">
        <f>K13+G13</f>
        <v>64.424567862320004</v>
      </c>
      <c r="M13" s="61">
        <f>L13+G13</f>
        <v>95.424567862320004</v>
      </c>
      <c r="N13" s="61"/>
      <c r="O13" s="61">
        <f>ROUND(C13*$O$5,0)</f>
        <v>60</v>
      </c>
      <c r="P13" s="61">
        <f>ROUND(C13*$P$5,0)</f>
        <v>116</v>
      </c>
      <c r="Q13" s="61">
        <f>ROUND(C13*$Q$5,0)</f>
        <v>107</v>
      </c>
      <c r="R13" s="61">
        <f>ROUND(C13*$R$5,0)</f>
        <v>99</v>
      </c>
      <c r="S13" s="73"/>
      <c r="T13" s="73"/>
      <c r="U13" s="73">
        <f>ROUND((((O13-J13))*-0.35)+T13,0)</f>
        <v>-20</v>
      </c>
      <c r="V13" s="61">
        <f>ROUND(((P13-G13)*-0.35)+U13,0)</f>
        <v>-50</v>
      </c>
      <c r="W13" s="61">
        <f>ROUND(((Q13-G13)*-0.35)+V13,0)</f>
        <v>-77</v>
      </c>
      <c r="X13" s="61">
        <f>ROUND(((R13-G13)*-0.35)+W13,0)</f>
        <v>-101</v>
      </c>
      <c r="Z13" s="61">
        <v>-381</v>
      </c>
      <c r="AA13" s="61">
        <f>Z13*F13</f>
        <v>-7.315199999999999</v>
      </c>
    </row>
    <row r="14" spans="1:27">
      <c r="A14" s="47" t="s">
        <v>17</v>
      </c>
      <c r="B14" s="47"/>
      <c r="C14" s="71">
        <f>[1]CAP14!C14</f>
        <v>11410.832175900001</v>
      </c>
      <c r="D14" s="71"/>
      <c r="E14" s="71">
        <f>[1]CAP14!E14</f>
        <v>828.91021686249996</v>
      </c>
      <c r="F14" s="60">
        <v>1.8700000000000001E-2</v>
      </c>
      <c r="G14" s="72">
        <f>ROUND(C14*F14,0)</f>
        <v>213</v>
      </c>
      <c r="H14" s="72"/>
      <c r="I14" s="73">
        <v>0</v>
      </c>
      <c r="J14" s="73">
        <f>F14*E14</f>
        <v>15.50062105532875</v>
      </c>
      <c r="K14" s="61">
        <f>J14+G14</f>
        <v>228.50062105532874</v>
      </c>
      <c r="L14" s="61">
        <f>K14+G14</f>
        <v>441.50062105532874</v>
      </c>
      <c r="M14" s="61">
        <f>L14+G14</f>
        <v>654.50062105532879</v>
      </c>
      <c r="N14" s="61"/>
      <c r="O14" s="61">
        <f>ROUND(C14*$O$5,0)</f>
        <v>428</v>
      </c>
      <c r="P14" s="61">
        <f>ROUND(C14*$P$5,0)</f>
        <v>824</v>
      </c>
      <c r="Q14" s="61">
        <f>ROUND(C14*$Q$5,0)</f>
        <v>762</v>
      </c>
      <c r="R14" s="61">
        <f>ROUND(C14*$R$5,0)</f>
        <v>705</v>
      </c>
      <c r="S14" s="73"/>
      <c r="T14" s="73"/>
      <c r="U14" s="73">
        <f>ROUND((((O14-J14))*-0.35)+T14,0)</f>
        <v>-144</v>
      </c>
      <c r="V14" s="61">
        <f>ROUND(((P14-G14)*-0.35)+U14,0)</f>
        <v>-358</v>
      </c>
      <c r="W14" s="61">
        <f>ROUND(((Q14-G14)*-0.35)+V14,0)</f>
        <v>-550</v>
      </c>
      <c r="X14" s="61">
        <f>ROUND(((R14-G14)*-0.35)+W14,0)</f>
        <v>-722</v>
      </c>
      <c r="Z14" s="61">
        <v>-141</v>
      </c>
      <c r="AA14" s="61">
        <f t="shared" ref="AA14:AA15" si="0">Z14*F14</f>
        <v>-2.6367000000000003</v>
      </c>
    </row>
    <row r="15" spans="1:27">
      <c r="A15" s="47" t="s">
        <v>18</v>
      </c>
      <c r="B15" s="47"/>
      <c r="C15" s="71">
        <f>[1]CAP14!C15</f>
        <v>130.9347669</v>
      </c>
      <c r="D15" s="71"/>
      <c r="E15" s="71">
        <f>[1]CAP14!E15</f>
        <v>18.425165787499999</v>
      </c>
      <c r="F15" s="60">
        <v>3.2300000000000002E-2</v>
      </c>
      <c r="G15" s="72">
        <f>ROUND(C15*F15,0)</f>
        <v>4</v>
      </c>
      <c r="H15" s="72"/>
      <c r="I15" s="73">
        <v>0</v>
      </c>
      <c r="J15" s="73">
        <f>F15*E15</f>
        <v>0.59513285493625001</v>
      </c>
      <c r="K15" s="61">
        <f>J15+G15</f>
        <v>4.5951328549362502</v>
      </c>
      <c r="L15" s="61">
        <f>K15+G15</f>
        <v>8.5951328549362493</v>
      </c>
      <c r="M15" s="61">
        <f>L15+G15</f>
        <v>12.595132854936249</v>
      </c>
      <c r="N15" s="61"/>
      <c r="O15" s="61">
        <f>ROUND(C15*$O$5,0)</f>
        <v>5</v>
      </c>
      <c r="P15" s="61">
        <f>ROUND(C15*$P$5,0)</f>
        <v>9</v>
      </c>
      <c r="Q15" s="61">
        <f>ROUND(C15*$Q$5,0)</f>
        <v>9</v>
      </c>
      <c r="R15" s="61">
        <f>ROUND(C15*$R$5,0)</f>
        <v>8</v>
      </c>
      <c r="S15" s="73"/>
      <c r="T15" s="73"/>
      <c r="U15" s="73">
        <f>ROUND((((O15-J15))*-0.35)+T15,0)</f>
        <v>-2</v>
      </c>
      <c r="V15" s="61">
        <f>ROUND(((P15-G15)*-0.35)+U15,0)</f>
        <v>-4</v>
      </c>
      <c r="W15" s="61">
        <f>ROUND(((Q15-G15)*-0.35)+V15,0)</f>
        <v>-6</v>
      </c>
      <c r="X15" s="61">
        <f>ROUND(((R15-G15)*-0.35)+W15,0)</f>
        <v>-7</v>
      </c>
      <c r="Z15" s="61">
        <v>-92</v>
      </c>
      <c r="AA15" s="61">
        <f t="shared" si="0"/>
        <v>-2.9716</v>
      </c>
    </row>
    <row r="16" spans="1:27">
      <c r="A16" s="47" t="s">
        <v>19</v>
      </c>
      <c r="B16" s="148" t="s">
        <v>132</v>
      </c>
      <c r="C16" s="74">
        <f>SUM(C13:C15)</f>
        <v>13144.982657100001</v>
      </c>
      <c r="D16" s="148" t="s">
        <v>132</v>
      </c>
      <c r="E16" s="74">
        <f>SUM(E13:E15)</f>
        <v>973.61495881249994</v>
      </c>
      <c r="F16" s="51"/>
      <c r="G16" s="75">
        <f t="shared" ref="G16:X16" si="1">SUM(G13:G15)</f>
        <v>248</v>
      </c>
      <c r="H16" s="72"/>
      <c r="I16" s="74">
        <f t="shared" si="1"/>
        <v>0</v>
      </c>
      <c r="J16" s="74">
        <f t="shared" si="1"/>
        <v>18.520321772585</v>
      </c>
      <c r="K16" s="75">
        <f t="shared" si="1"/>
        <v>266.52032177258496</v>
      </c>
      <c r="L16" s="75">
        <f t="shared" si="1"/>
        <v>514.52032177258491</v>
      </c>
      <c r="M16" s="75">
        <f>SUM(M13:M15)</f>
        <v>762.52032177258502</v>
      </c>
      <c r="N16" s="72"/>
      <c r="O16" s="75">
        <f t="shared" si="1"/>
        <v>493</v>
      </c>
      <c r="P16" s="75">
        <f t="shared" si="1"/>
        <v>949</v>
      </c>
      <c r="Q16" s="75">
        <f t="shared" si="1"/>
        <v>878</v>
      </c>
      <c r="R16" s="75">
        <f t="shared" si="1"/>
        <v>812</v>
      </c>
      <c r="S16" s="76"/>
      <c r="T16" s="74">
        <f t="shared" si="1"/>
        <v>0</v>
      </c>
      <c r="U16" s="74">
        <f t="shared" si="1"/>
        <v>-166</v>
      </c>
      <c r="V16" s="75">
        <f t="shared" si="1"/>
        <v>-412</v>
      </c>
      <c r="W16" s="75">
        <f t="shared" si="1"/>
        <v>-633</v>
      </c>
      <c r="X16" s="75">
        <f t="shared" si="1"/>
        <v>-830</v>
      </c>
      <c r="Z16" s="75">
        <f>SUM(Z13:Z15)</f>
        <v>-614</v>
      </c>
      <c r="AA16" s="75">
        <f>SUM(AA13:AA15)</f>
        <v>-12.923499999999999</v>
      </c>
    </row>
    <row r="17" spans="1:27" ht="6" customHeight="1">
      <c r="A17" s="47"/>
      <c r="B17" s="47"/>
      <c r="C17" s="77"/>
      <c r="D17" s="76"/>
      <c r="E17" s="77"/>
      <c r="G17" s="78"/>
      <c r="H17" s="72"/>
      <c r="I17" s="77"/>
      <c r="J17" s="77"/>
      <c r="K17" s="78"/>
      <c r="L17" s="78"/>
      <c r="M17" s="78"/>
      <c r="N17" s="72"/>
      <c r="O17" s="78"/>
      <c r="P17" s="78"/>
      <c r="Q17" s="78"/>
      <c r="R17" s="78"/>
      <c r="S17" s="76"/>
      <c r="T17" s="77"/>
      <c r="U17" s="77"/>
      <c r="V17" s="78"/>
      <c r="W17" s="78"/>
      <c r="X17" s="78"/>
      <c r="Z17" s="78"/>
      <c r="AA17" s="78"/>
    </row>
    <row r="18" spans="1:27">
      <c r="A18" s="47" t="s">
        <v>20</v>
      </c>
      <c r="B18" s="47"/>
      <c r="C18" s="79">
        <f>[1]CAP14!C18</f>
        <v>16835.809032600002</v>
      </c>
      <c r="D18" s="71"/>
      <c r="E18" s="79">
        <f>[1]CAP14!E18</f>
        <v>1215.2360168500002</v>
      </c>
      <c r="F18" s="60">
        <v>1.8200000000000001E-2</v>
      </c>
      <c r="G18" s="80">
        <f>ROUND(C18*F18,0)</f>
        <v>306</v>
      </c>
      <c r="H18" s="72"/>
      <c r="I18" s="81">
        <v>0</v>
      </c>
      <c r="J18" s="81">
        <f>F18*E18</f>
        <v>22.117295506670004</v>
      </c>
      <c r="K18" s="82">
        <f>J18+G18</f>
        <v>328.11729550667002</v>
      </c>
      <c r="L18" s="82">
        <f>K18+G18</f>
        <v>634.11729550666996</v>
      </c>
      <c r="M18" s="82">
        <f>L18+G18</f>
        <v>940.11729550666996</v>
      </c>
      <c r="N18" s="61"/>
      <c r="O18" s="82">
        <f>ROUND(C18*$O$5,0)</f>
        <v>631</v>
      </c>
      <c r="P18" s="82">
        <f>ROUND(C18*$P$5,0)</f>
        <v>1215</v>
      </c>
      <c r="Q18" s="82">
        <f>ROUND(C18*$Q$5,0)</f>
        <v>1124</v>
      </c>
      <c r="R18" s="82">
        <f>ROUND(C18*$R$5,0)</f>
        <v>1040</v>
      </c>
      <c r="S18" s="73"/>
      <c r="T18" s="81"/>
      <c r="U18" s="81">
        <f>ROUND((((O18-J18))*-0.35)+T18,0)</f>
        <v>-213</v>
      </c>
      <c r="V18" s="82">
        <f>ROUND(((P18-G18)*-0.35)+U18,0)</f>
        <v>-531</v>
      </c>
      <c r="W18" s="82">
        <f>ROUND(((Q18-G18)*-0.35)+V18,0)</f>
        <v>-817</v>
      </c>
      <c r="X18" s="82">
        <f>ROUND(((R18-G18)*-0.35)+W18,0)</f>
        <v>-1074</v>
      </c>
      <c r="Z18" s="82">
        <v>-1643</v>
      </c>
      <c r="AA18" s="82">
        <f>Z18*F18</f>
        <v>-29.902600000000003</v>
      </c>
    </row>
    <row r="19" spans="1:27" ht="6" customHeight="1">
      <c r="A19" s="47"/>
      <c r="B19" s="47"/>
      <c r="C19" s="77"/>
      <c r="D19" s="76"/>
      <c r="E19" s="77"/>
      <c r="G19" s="78"/>
      <c r="H19" s="72"/>
      <c r="I19" s="77"/>
      <c r="J19" s="77"/>
      <c r="K19" s="78"/>
      <c r="L19" s="78"/>
      <c r="M19" s="78"/>
      <c r="N19" s="72"/>
      <c r="O19" s="78"/>
      <c r="P19" s="78"/>
      <c r="Q19" s="78"/>
      <c r="R19" s="78"/>
      <c r="S19" s="76"/>
      <c r="T19" s="76"/>
      <c r="U19" s="77"/>
      <c r="V19" s="78"/>
      <c r="W19" s="78"/>
      <c r="X19" s="78"/>
      <c r="Z19" s="78"/>
      <c r="AA19" s="78"/>
    </row>
    <row r="20" spans="1:27">
      <c r="A20" s="47" t="s">
        <v>11</v>
      </c>
      <c r="B20" s="47"/>
      <c r="C20" s="77"/>
      <c r="D20" s="76"/>
      <c r="E20" s="77"/>
      <c r="G20" s="78"/>
      <c r="H20" s="72"/>
      <c r="I20" s="77"/>
      <c r="J20" s="77"/>
      <c r="K20" s="78"/>
      <c r="L20" s="78"/>
      <c r="M20" s="78"/>
      <c r="N20" s="72"/>
      <c r="O20" s="78"/>
      <c r="P20" s="78"/>
      <c r="Q20" s="78"/>
      <c r="R20" s="78"/>
      <c r="S20" s="76"/>
      <c r="T20" s="76"/>
      <c r="U20" s="77"/>
      <c r="V20" s="78"/>
      <c r="W20" s="78"/>
      <c r="X20" s="78"/>
      <c r="Z20" s="78"/>
      <c r="AA20" s="78"/>
    </row>
    <row r="21" spans="1:27">
      <c r="A21" s="47" t="s">
        <v>21</v>
      </c>
      <c r="B21" s="47"/>
      <c r="C21" s="71">
        <f>[1]CAP14!C21</f>
        <v>8740.2759999999998</v>
      </c>
      <c r="D21" s="71"/>
      <c r="E21" s="71">
        <f>[1]CAP14!E21</f>
        <v>1088.35375</v>
      </c>
      <c r="F21" s="60">
        <v>2.92E-2</v>
      </c>
      <c r="G21" s="72">
        <f>ROUND(C21*F21,0)</f>
        <v>255</v>
      </c>
      <c r="H21" s="72"/>
      <c r="I21" s="73">
        <v>0</v>
      </c>
      <c r="J21" s="73">
        <f>F21*E21</f>
        <v>31.779929500000001</v>
      </c>
      <c r="K21" s="61">
        <f>J21+G21</f>
        <v>286.77992949999998</v>
      </c>
      <c r="L21" s="61">
        <f>K21+G21</f>
        <v>541.77992949999998</v>
      </c>
      <c r="M21" s="61">
        <f>L21+G21</f>
        <v>796.77992949999998</v>
      </c>
      <c r="N21" s="61"/>
      <c r="O21" s="61">
        <f>ROUND(C21*$O$5,0)</f>
        <v>328</v>
      </c>
      <c r="P21" s="61">
        <f>ROUND(C21*$P$5,0)</f>
        <v>631</v>
      </c>
      <c r="Q21" s="61">
        <f>ROUND(C21*$Q$5,0)</f>
        <v>584</v>
      </c>
      <c r="R21" s="61">
        <f>ROUND(C21*$R$5,0)</f>
        <v>540</v>
      </c>
      <c r="S21" s="73"/>
      <c r="T21" s="73"/>
      <c r="U21" s="73">
        <f>ROUND((((O21-J21))*-0.35)+T21,0)</f>
        <v>-104</v>
      </c>
      <c r="V21" s="61">
        <f>ROUND(((P21-G21)*-0.35)+U21,0)</f>
        <v>-236</v>
      </c>
      <c r="W21" s="61">
        <f>ROUND(((Q21-G21)*-0.35)+V21,0)</f>
        <v>-351</v>
      </c>
      <c r="X21" s="61">
        <f>ROUND(((R21-G21)*-0.35)+W21,0)</f>
        <v>-451</v>
      </c>
      <c r="Z21" s="61">
        <v>-1179</v>
      </c>
      <c r="AA21" s="61">
        <f>Z21*F21</f>
        <v>-34.4268</v>
      </c>
    </row>
    <row r="22" spans="1:27">
      <c r="A22" s="47" t="s">
        <v>22</v>
      </c>
      <c r="B22" s="47"/>
      <c r="C22" s="71">
        <f>[1]CAP14!C22</f>
        <v>8795.2632002932824</v>
      </c>
      <c r="D22" s="71"/>
      <c r="E22" s="71">
        <f>[1]CAP14!E22</f>
        <v>583.76715815752107</v>
      </c>
      <c r="F22" s="60">
        <v>2.92E-2</v>
      </c>
      <c r="G22" s="72">
        <f>ROUND(C22*F22,0)</f>
        <v>257</v>
      </c>
      <c r="H22" s="72"/>
      <c r="I22" s="73">
        <v>0</v>
      </c>
      <c r="J22" s="73">
        <f>F22*E22</f>
        <v>17.046001018199615</v>
      </c>
      <c r="K22" s="61">
        <f>J22+G22</f>
        <v>274.0460010181996</v>
      </c>
      <c r="L22" s="61">
        <f>K22+G22</f>
        <v>531.0460010181996</v>
      </c>
      <c r="M22" s="61">
        <f>L22+G22</f>
        <v>788.0460010181996</v>
      </c>
      <c r="N22" s="61"/>
      <c r="O22" s="61">
        <f>ROUND(C22*$O$5,0)</f>
        <v>330</v>
      </c>
      <c r="P22" s="61">
        <f>ROUND(C22*$P$5,0)</f>
        <v>635</v>
      </c>
      <c r="Q22" s="61">
        <f>ROUND(C22*$Q$5,0)</f>
        <v>587</v>
      </c>
      <c r="R22" s="61">
        <f>ROUND(C22*$R$5,0)</f>
        <v>543</v>
      </c>
      <c r="S22" s="73"/>
      <c r="T22" s="73"/>
      <c r="U22" s="73">
        <f>ROUND((((O22-J22))*-0.35)+T22,0)</f>
        <v>-110</v>
      </c>
      <c r="V22" s="61">
        <f>ROUND(((P22-G22)*-0.35)+U22,0)</f>
        <v>-242</v>
      </c>
      <c r="W22" s="61">
        <f>ROUND(((Q22-G22)*-0.35)+V22,0)</f>
        <v>-358</v>
      </c>
      <c r="X22" s="61">
        <f>ROUND(((R22-G22)*-0.35)+W22,0)</f>
        <v>-458</v>
      </c>
      <c r="Z22" s="61"/>
      <c r="AA22" s="61"/>
    </row>
    <row r="23" spans="1:27">
      <c r="A23" s="47" t="s">
        <v>19</v>
      </c>
      <c r="B23" s="47"/>
      <c r="C23" s="74">
        <f>SUM(C21:C22)</f>
        <v>17535.539200293282</v>
      </c>
      <c r="D23" s="76"/>
      <c r="E23" s="74">
        <f t="shared" ref="E23:X23" si="2">SUM(E21:E22)</f>
        <v>1672.1209081575212</v>
      </c>
      <c r="F23" s="51"/>
      <c r="G23" s="75">
        <f t="shared" si="2"/>
        <v>512</v>
      </c>
      <c r="H23" s="72"/>
      <c r="I23" s="74">
        <f t="shared" si="2"/>
        <v>0</v>
      </c>
      <c r="J23" s="74">
        <f t="shared" si="2"/>
        <v>48.825930518199613</v>
      </c>
      <c r="K23" s="75">
        <f>SUM(K21:K22)</f>
        <v>560.82593051819958</v>
      </c>
      <c r="L23" s="75">
        <f>SUM(L21:L22)</f>
        <v>1072.8259305181996</v>
      </c>
      <c r="M23" s="75">
        <f>SUM(M21:M22)</f>
        <v>1584.8259305181996</v>
      </c>
      <c r="N23" s="72"/>
      <c r="O23" s="75">
        <f t="shared" si="2"/>
        <v>658</v>
      </c>
      <c r="P23" s="75">
        <f t="shared" si="2"/>
        <v>1266</v>
      </c>
      <c r="Q23" s="75">
        <f t="shared" si="2"/>
        <v>1171</v>
      </c>
      <c r="R23" s="75">
        <f>SUM(R21:R22)</f>
        <v>1083</v>
      </c>
      <c r="S23" s="76"/>
      <c r="T23" s="74">
        <f t="shared" si="2"/>
        <v>0</v>
      </c>
      <c r="U23" s="74">
        <f t="shared" si="2"/>
        <v>-214</v>
      </c>
      <c r="V23" s="75">
        <f t="shared" si="2"/>
        <v>-478</v>
      </c>
      <c r="W23" s="75">
        <f t="shared" si="2"/>
        <v>-709</v>
      </c>
      <c r="X23" s="75">
        <f t="shared" si="2"/>
        <v>-909</v>
      </c>
      <c r="Z23" s="75">
        <f>SUM(Z21:Z22)</f>
        <v>-1179</v>
      </c>
      <c r="AA23" s="75">
        <f>SUM(AA21:AA22)</f>
        <v>-34.4268</v>
      </c>
    </row>
    <row r="24" spans="1:27" ht="6" customHeight="1">
      <c r="A24" s="47"/>
      <c r="B24" s="47"/>
      <c r="C24" s="77"/>
      <c r="D24" s="76"/>
      <c r="E24" s="77"/>
      <c r="G24" s="78"/>
      <c r="H24" s="72"/>
      <c r="I24" s="77"/>
      <c r="J24" s="77"/>
      <c r="K24" s="78"/>
      <c r="L24" s="78"/>
      <c r="M24" s="78"/>
      <c r="N24" s="72"/>
      <c r="O24" s="78"/>
      <c r="P24" s="78"/>
      <c r="Q24" s="78"/>
      <c r="R24" s="78"/>
      <c r="S24" s="76"/>
      <c r="T24" s="77"/>
      <c r="U24" s="77"/>
      <c r="V24" s="78"/>
      <c r="W24" s="78"/>
      <c r="X24" s="78"/>
      <c r="Z24" s="78"/>
      <c r="AA24" s="78"/>
    </row>
    <row r="25" spans="1:27">
      <c r="A25" s="47" t="s">
        <v>12</v>
      </c>
      <c r="C25" s="71">
        <f>[1]CAP14!C25</f>
        <v>3744.6639155504286</v>
      </c>
      <c r="D25" s="71"/>
      <c r="E25" s="71">
        <f>[1]CAP14!E25</f>
        <v>238.11661418083352</v>
      </c>
      <c r="F25" s="60">
        <v>3.8100000000000002E-2</v>
      </c>
      <c r="G25" s="72">
        <f>ROUND(C25*F25,0)</f>
        <v>143</v>
      </c>
      <c r="H25" s="72"/>
      <c r="I25" s="73">
        <v>0</v>
      </c>
      <c r="J25" s="73">
        <f>F25*E25</f>
        <v>9.0722430002897578</v>
      </c>
      <c r="K25" s="61">
        <f>J25+G25</f>
        <v>152.07224300028975</v>
      </c>
      <c r="L25" s="61">
        <f>K25+G25</f>
        <v>295.07224300028975</v>
      </c>
      <c r="M25" s="61">
        <f>L25+G25</f>
        <v>438.07224300028975</v>
      </c>
      <c r="N25" s="61"/>
      <c r="O25" s="61">
        <f>ROUND(C25*$O$6,0)</f>
        <v>535</v>
      </c>
      <c r="P25" s="61">
        <f>ROUND(C25*$P$6,0)</f>
        <v>917</v>
      </c>
      <c r="Q25" s="61">
        <f>ROUND(C25*$Q$6,0)</f>
        <v>655</v>
      </c>
      <c r="R25" s="61">
        <f>ROUND(C25*$R$6,0)</f>
        <v>468</v>
      </c>
      <c r="S25" s="73"/>
      <c r="T25" s="73"/>
      <c r="U25" s="73">
        <f>ROUND((((O25-J25))*-0.35)+T25,0)</f>
        <v>-184</v>
      </c>
      <c r="V25" s="61">
        <f>ROUND(((P25-G25)*-0.35)+U25,0)</f>
        <v>-455</v>
      </c>
      <c r="W25" s="61">
        <f>ROUND(((Q25-G25)*-0.35)+V25,0)</f>
        <v>-634</v>
      </c>
      <c r="X25" s="61">
        <f>ROUND(((R25-G25)*-0.35)+W25,0)</f>
        <v>-748</v>
      </c>
      <c r="Z25" s="61">
        <v>-4220</v>
      </c>
      <c r="AA25" s="61">
        <f>Z25*F25</f>
        <v>-160.78200000000001</v>
      </c>
    </row>
    <row r="26" spans="1:27">
      <c r="A26" s="47" t="s">
        <v>23</v>
      </c>
      <c r="B26" s="47"/>
      <c r="C26" s="71">
        <f>[1]CAP14!C26</f>
        <v>845.53763793849294</v>
      </c>
      <c r="D26" s="71"/>
      <c r="E26" s="71">
        <f>[1]CAP14!E26</f>
        <v>87.833200323539117</v>
      </c>
      <c r="F26" s="60">
        <v>8.9200000000000002E-2</v>
      </c>
      <c r="G26" s="72">
        <f>ROUND(C26*F26,0)</f>
        <v>75</v>
      </c>
      <c r="H26" s="72"/>
      <c r="I26" s="73">
        <v>0</v>
      </c>
      <c r="J26" s="73">
        <f>F26*E26</f>
        <v>7.8347214688596898</v>
      </c>
      <c r="K26" s="61">
        <f>J26+G26</f>
        <v>82.834721468859684</v>
      </c>
      <c r="L26" s="61">
        <f>K26+G26</f>
        <v>157.8347214688597</v>
      </c>
      <c r="M26" s="61">
        <f>L26+G26</f>
        <v>232.8347214688597</v>
      </c>
      <c r="N26" s="61"/>
      <c r="O26" s="61">
        <f>ROUND(C26*$O$5,0)</f>
        <v>32</v>
      </c>
      <c r="P26" s="61">
        <f>ROUND(C26*$P$5,0)</f>
        <v>61</v>
      </c>
      <c r="Q26" s="61">
        <f>ROUND(C26*$Q$5,0)</f>
        <v>56</v>
      </c>
      <c r="R26" s="61">
        <f>ROUND(C26*$R$5,0)</f>
        <v>52</v>
      </c>
      <c r="S26" s="73"/>
      <c r="T26" s="73"/>
      <c r="U26" s="73">
        <f>ROUND((((O26-J26))*-0.35)+T26,0)</f>
        <v>-8</v>
      </c>
      <c r="V26" s="61">
        <f>ROUND(((P26-G26)*-0.35)+U26,0)</f>
        <v>-3</v>
      </c>
      <c r="W26" s="61">
        <f>ROUND(((Q26-G26)*-0.35)+V26,0)</f>
        <v>4</v>
      </c>
      <c r="X26" s="61">
        <f>ROUND(((R26-G26)*-0.35)+W26,0)</f>
        <v>12</v>
      </c>
      <c r="Z26" s="61"/>
      <c r="AA26" s="61"/>
    </row>
    <row r="27" spans="1:27">
      <c r="A27" s="47" t="s">
        <v>19</v>
      </c>
      <c r="B27" s="47"/>
      <c r="C27" s="74">
        <f>SUM(C25:C26)</f>
        <v>4590.2015534889215</v>
      </c>
      <c r="D27" s="76"/>
      <c r="E27" s="74">
        <f t="shared" ref="E27:AA27" si="3">SUM(E25:E26)</f>
        <v>325.94981450437263</v>
      </c>
      <c r="F27" s="51"/>
      <c r="G27" s="75">
        <f t="shared" si="3"/>
        <v>218</v>
      </c>
      <c r="H27" s="72"/>
      <c r="I27" s="74">
        <f t="shared" si="3"/>
        <v>0</v>
      </c>
      <c r="J27" s="74">
        <f t="shared" si="3"/>
        <v>16.906964469149447</v>
      </c>
      <c r="K27" s="74">
        <f t="shared" si="3"/>
        <v>234.90696446914944</v>
      </c>
      <c r="L27" s="74">
        <f t="shared" si="3"/>
        <v>452.90696446914944</v>
      </c>
      <c r="M27" s="74">
        <f t="shared" si="3"/>
        <v>670.90696446914944</v>
      </c>
      <c r="N27" s="72"/>
      <c r="O27" s="75">
        <f t="shared" si="3"/>
        <v>567</v>
      </c>
      <c r="P27" s="75">
        <f t="shared" si="3"/>
        <v>978</v>
      </c>
      <c r="Q27" s="75">
        <f t="shared" si="3"/>
        <v>711</v>
      </c>
      <c r="R27" s="75">
        <f t="shared" si="3"/>
        <v>520</v>
      </c>
      <c r="S27" s="76"/>
      <c r="T27" s="74">
        <f t="shared" si="3"/>
        <v>0</v>
      </c>
      <c r="U27" s="74">
        <f t="shared" si="3"/>
        <v>-192</v>
      </c>
      <c r="V27" s="75">
        <f t="shared" si="3"/>
        <v>-458</v>
      </c>
      <c r="W27" s="75">
        <f t="shared" si="3"/>
        <v>-630</v>
      </c>
      <c r="X27" s="75">
        <f t="shared" si="3"/>
        <v>-736</v>
      </c>
      <c r="Z27" s="74">
        <f t="shared" si="3"/>
        <v>-4220</v>
      </c>
      <c r="AA27" s="74">
        <f t="shared" si="3"/>
        <v>-160.78200000000001</v>
      </c>
    </row>
    <row r="28" spans="1:27">
      <c r="A28" s="47"/>
      <c r="B28" s="47"/>
      <c r="C28" s="77"/>
      <c r="D28" s="76"/>
      <c r="E28" s="77"/>
      <c r="G28" s="78"/>
      <c r="H28" s="72"/>
      <c r="I28" s="77"/>
      <c r="J28" s="77"/>
      <c r="K28" s="78"/>
      <c r="L28" s="78"/>
      <c r="M28" s="78"/>
      <c r="N28" s="72"/>
      <c r="O28" s="78"/>
      <c r="P28" s="78"/>
      <c r="Q28" s="78"/>
      <c r="R28" s="78"/>
      <c r="S28" s="76"/>
      <c r="T28" s="83"/>
      <c r="U28" s="83"/>
      <c r="V28" s="78"/>
      <c r="W28" s="78"/>
      <c r="X28" s="78"/>
      <c r="Z28" s="78"/>
      <c r="AA28" s="78"/>
    </row>
    <row r="29" spans="1:27">
      <c r="A29" s="47" t="s">
        <v>130</v>
      </c>
      <c r="B29" s="47"/>
      <c r="C29" s="77">
        <f>[1]CAP14!C29</f>
        <v>2504.4735347347432</v>
      </c>
      <c r="D29" s="76"/>
      <c r="E29" s="77">
        <f>[1]CAP14!E29</f>
        <v>196.11657355861036</v>
      </c>
      <c r="F29" s="48">
        <v>0.23699999999999999</v>
      </c>
      <c r="G29" s="72">
        <f>ROUND(C29*F29,0)</f>
        <v>594</v>
      </c>
      <c r="H29" s="72"/>
      <c r="I29" s="73">
        <v>0</v>
      </c>
      <c r="J29" s="73">
        <f>F29*E29</f>
        <v>46.479627933390653</v>
      </c>
      <c r="K29" s="61">
        <f>J29+G29</f>
        <v>640.4796279333907</v>
      </c>
      <c r="L29" s="61">
        <f>K29+G29</f>
        <v>1234.4796279333907</v>
      </c>
      <c r="M29" s="61">
        <f>L29+G29</f>
        <v>1828.4796279333907</v>
      </c>
      <c r="N29" s="61"/>
      <c r="O29" s="61">
        <f>ROUND(C29*$O$7,0)</f>
        <v>501</v>
      </c>
      <c r="P29" s="61">
        <f>ROUND(C29*$P$7,0)</f>
        <v>801</v>
      </c>
      <c r="Q29" s="61">
        <f>ROUND(C29*$Q$7,0)</f>
        <v>481</v>
      </c>
      <c r="R29" s="61">
        <f>ROUND(C29*$R$7,0)</f>
        <v>289</v>
      </c>
      <c r="S29" s="73"/>
      <c r="T29" s="73"/>
      <c r="U29" s="73">
        <f>ROUND((((O29-J29))*-0.35)+T29,0)</f>
        <v>-159</v>
      </c>
      <c r="V29" s="61">
        <f>ROUND(((P29-G29)*-0.35)+U29,0)</f>
        <v>-231</v>
      </c>
      <c r="W29" s="61">
        <f>ROUND(((Q29-G29)*-0.35)+V29,0)</f>
        <v>-191</v>
      </c>
      <c r="X29" s="61">
        <f>ROUND(((R29-G29)*-0.35)+W29,0)</f>
        <v>-84</v>
      </c>
      <c r="Z29" s="61">
        <f>-1379*0.61</f>
        <v>-841.18999999999994</v>
      </c>
      <c r="AA29" s="61">
        <f>Z29*F29</f>
        <v>-199.36202999999998</v>
      </c>
    </row>
    <row r="30" spans="1:27">
      <c r="A30" s="47" t="s">
        <v>131</v>
      </c>
      <c r="B30" s="47"/>
      <c r="C30" s="79">
        <f>[1]CAP14!C30</f>
        <v>1601.2207845025407</v>
      </c>
      <c r="D30" s="71"/>
      <c r="E30" s="79">
        <f>[1]CAP14!E30</f>
        <v>125.38600604566892</v>
      </c>
      <c r="F30" s="60">
        <v>0.2</v>
      </c>
      <c r="G30" s="80">
        <f>ROUND(C30*F30,0)</f>
        <v>320</v>
      </c>
      <c r="H30" s="72"/>
      <c r="I30" s="81">
        <v>0</v>
      </c>
      <c r="J30" s="81">
        <f>F30*E30</f>
        <v>25.077201209133786</v>
      </c>
      <c r="K30" s="82">
        <f>J30+G30</f>
        <v>345.07720120913376</v>
      </c>
      <c r="L30" s="82">
        <f>K30+G30</f>
        <v>665.07720120913382</v>
      </c>
      <c r="M30" s="82">
        <f>L30+G30</f>
        <v>985.07720120913382</v>
      </c>
      <c r="N30" s="61"/>
      <c r="O30" s="82">
        <f>ROUND(C30*$O$8,0)</f>
        <v>534</v>
      </c>
      <c r="P30" s="82">
        <f>ROUND(C30*$P$8,0)</f>
        <v>712</v>
      </c>
      <c r="Q30" s="82">
        <f>ROUND(C30*$Q$8,0)</f>
        <v>237</v>
      </c>
      <c r="R30" s="81">
        <f>ROUND(C30*$R$8,0)</f>
        <v>119</v>
      </c>
      <c r="S30" s="73"/>
      <c r="T30" s="81"/>
      <c r="U30" s="81">
        <f>ROUND((((O30-J30))*-0.35)+T30,0)</f>
        <v>-178</v>
      </c>
      <c r="V30" s="82">
        <f>ROUND(((P30-G30)*-0.35)+U30,0)</f>
        <v>-315</v>
      </c>
      <c r="W30" s="82">
        <f>ROUND(((Q30-G30)*-0.35)+V30,0)</f>
        <v>-286</v>
      </c>
      <c r="X30" s="82">
        <f>ROUND(((R30-G30)*-0.35)+W30,0)</f>
        <v>-216</v>
      </c>
      <c r="Z30" s="82">
        <f>-1379*0.39</f>
        <v>-537.81000000000006</v>
      </c>
      <c r="AA30" s="82">
        <f>Z30*F30</f>
        <v>-107.56200000000001</v>
      </c>
    </row>
    <row r="31" spans="1:27">
      <c r="A31" s="47"/>
      <c r="B31" s="47"/>
      <c r="C31" s="71">
        <f>SUM(C29:C30)</f>
        <v>4105.6943192372837</v>
      </c>
      <c r="D31" s="71"/>
      <c r="E31" s="71">
        <f>SUM(E29:E30)</f>
        <v>321.50257960427928</v>
      </c>
      <c r="F31" s="60"/>
      <c r="G31" s="71">
        <f>SUM(G29:G30)</f>
        <v>914</v>
      </c>
      <c r="H31" s="72"/>
      <c r="I31" s="71">
        <f>SUM(I29:I30)</f>
        <v>0</v>
      </c>
      <c r="J31" s="71">
        <f>SUM(J29:J30)</f>
        <v>71.556829142524435</v>
      </c>
      <c r="K31" s="71">
        <f>SUM(K29:K30)</f>
        <v>985.55682914252452</v>
      </c>
      <c r="L31" s="71">
        <f>SUM(L29:L30)</f>
        <v>1899.5568291425245</v>
      </c>
      <c r="M31" s="71">
        <f>SUM(M29:M30)</f>
        <v>2813.5568291425243</v>
      </c>
      <c r="N31" s="61"/>
      <c r="O31" s="71">
        <f>SUM(O29:O30)</f>
        <v>1035</v>
      </c>
      <c r="P31" s="71">
        <f>SUM(P29:P30)</f>
        <v>1513</v>
      </c>
      <c r="Q31" s="71">
        <f>SUM(Q29:Q30)</f>
        <v>718</v>
      </c>
      <c r="R31" s="71">
        <f>SUM(R29:R30)</f>
        <v>408</v>
      </c>
      <c r="S31" s="73"/>
      <c r="T31" s="71">
        <f>SUM(T29:T30)</f>
        <v>0</v>
      </c>
      <c r="U31" s="71">
        <f>SUM(U29:U30)</f>
        <v>-337</v>
      </c>
      <c r="V31" s="71">
        <f>SUM(V29:V30)</f>
        <v>-546</v>
      </c>
      <c r="W31" s="71">
        <f>SUM(W29:W30)</f>
        <v>-477</v>
      </c>
      <c r="X31" s="71">
        <f>SUM(X29:X30)</f>
        <v>-300</v>
      </c>
      <c r="Z31" s="71">
        <f>SUM(Z29:Z30)</f>
        <v>-1379</v>
      </c>
      <c r="AA31" s="71">
        <f>SUM(AA29:AA30)</f>
        <v>-306.92403000000002</v>
      </c>
    </row>
    <row r="32" spans="1:27">
      <c r="A32" s="47"/>
      <c r="B32" s="47"/>
      <c r="C32" s="77"/>
      <c r="D32" s="76"/>
      <c r="E32" s="77"/>
      <c r="G32" s="78"/>
      <c r="H32" s="72"/>
      <c r="I32" s="77"/>
      <c r="J32" s="77"/>
      <c r="K32" s="78"/>
      <c r="L32" s="78"/>
      <c r="M32" s="78"/>
      <c r="N32" s="72"/>
      <c r="O32" s="78"/>
      <c r="P32" s="78"/>
      <c r="Q32" s="78"/>
      <c r="R32" s="78"/>
      <c r="S32" s="76"/>
      <c r="T32" s="77"/>
      <c r="U32" s="77"/>
      <c r="V32" s="78"/>
      <c r="W32" s="78"/>
      <c r="X32" s="78"/>
      <c r="Z32" s="78"/>
    </row>
    <row r="33" spans="1:27" s="88" customFormat="1" ht="13.5" thickBot="1">
      <c r="A33" s="84" t="s">
        <v>25</v>
      </c>
      <c r="B33" s="84"/>
      <c r="C33" s="85">
        <f>SUM(C16,C18,C23,C27,C31,)</f>
        <v>56212.226762719496</v>
      </c>
      <c r="D33" s="87"/>
      <c r="E33" s="85">
        <f>SUM(E16,E18,E23,E27,E31,)</f>
        <v>4508.4242779286724</v>
      </c>
      <c r="F33" s="52"/>
      <c r="G33" s="85">
        <f>SUM(G16,G18,G23,G27,G31,)</f>
        <v>2198</v>
      </c>
      <c r="H33" s="86"/>
      <c r="I33" s="85">
        <f>SUM(I16,I18,I23,I27,I31,)</f>
        <v>0</v>
      </c>
      <c r="J33" s="85">
        <f>SUM(J16,J18,J23,J27,J31,)</f>
        <v>177.9273414091285</v>
      </c>
      <c r="K33" s="85">
        <f>SUM(K16,K18,K23,K27,K31,)</f>
        <v>2375.9273414091285</v>
      </c>
      <c r="L33" s="85">
        <f>SUM(L16,L18,L23,L27,L31,)</f>
        <v>4573.9273414091285</v>
      </c>
      <c r="M33" s="85">
        <f>SUM(M16,M18,M23,M27,M31,)</f>
        <v>6771.9273414091276</v>
      </c>
      <c r="N33" s="86"/>
      <c r="O33" s="85">
        <f>SUM(O16,O18,O23,O27,O31,)</f>
        <v>3384</v>
      </c>
      <c r="P33" s="85">
        <f>SUM(P16,P18,P23,P27,P31,)</f>
        <v>5921</v>
      </c>
      <c r="Q33" s="85">
        <f>SUM(Q16,Q18,Q23,Q27,Q31,)</f>
        <v>4602</v>
      </c>
      <c r="R33" s="85">
        <f>SUM(R16,R18,R23,R27,R31,)</f>
        <v>3863</v>
      </c>
      <c r="S33" s="87"/>
      <c r="T33" s="85">
        <f>SUM(T16,T18,T23,T27,T31,)</f>
        <v>0</v>
      </c>
      <c r="U33" s="85">
        <f>SUM(U16,U18,U23,U27,U31,)</f>
        <v>-1122</v>
      </c>
      <c r="V33" s="85">
        <f>SUM(V16,V18,V23,V27,V31,)</f>
        <v>-2425</v>
      </c>
      <c r="W33" s="85">
        <f>SUM(W16,W18,W23,W27,W31,)</f>
        <v>-3266</v>
      </c>
      <c r="X33" s="85">
        <f>SUM(X16,X18,X23,X27,X31,)</f>
        <v>-3849</v>
      </c>
      <c r="Z33" s="85">
        <f>SUM(Z16,Z18,Z23,Z27,Z31,)</f>
        <v>-9035</v>
      </c>
      <c r="AA33" s="85">
        <f>SUM(AA16,AA18,AA23,AA27,AA31,)</f>
        <v>-544.95893000000001</v>
      </c>
    </row>
    <row r="34" spans="1:27" s="88" customFormat="1">
      <c r="A34" s="84"/>
      <c r="B34" s="84"/>
      <c r="C34" s="149" t="s">
        <v>117</v>
      </c>
      <c r="D34" s="149"/>
      <c r="E34" s="149" t="s">
        <v>117</v>
      </c>
      <c r="F34" s="90"/>
      <c r="G34" s="278" t="s">
        <v>117</v>
      </c>
      <c r="H34" s="278"/>
      <c r="I34" s="89"/>
      <c r="J34" s="278" t="s">
        <v>117</v>
      </c>
      <c r="K34" s="278"/>
      <c r="L34" s="91"/>
      <c r="M34" s="91"/>
      <c r="N34" s="86"/>
      <c r="O34" s="91"/>
      <c r="P34" s="278" t="s">
        <v>117</v>
      </c>
      <c r="Q34" s="278"/>
      <c r="R34" s="91"/>
      <c r="S34" s="87"/>
      <c r="T34" s="89"/>
      <c r="U34" s="278" t="s">
        <v>117</v>
      </c>
      <c r="V34" s="278"/>
      <c r="W34" s="91"/>
      <c r="X34" s="91"/>
      <c r="Z34" s="278" t="s">
        <v>117</v>
      </c>
      <c r="AA34" s="278"/>
    </row>
    <row r="35" spans="1:27">
      <c r="C35" s="77"/>
      <c r="D35" s="76"/>
      <c r="E35" s="77"/>
      <c r="G35" s="78"/>
      <c r="H35" s="72"/>
      <c r="I35" s="77"/>
      <c r="J35" s="77"/>
      <c r="K35" s="78"/>
      <c r="L35" s="78"/>
      <c r="M35" s="78"/>
      <c r="N35" s="72"/>
      <c r="O35" s="78"/>
      <c r="P35" s="78"/>
      <c r="Q35" s="78"/>
      <c r="R35" s="78"/>
      <c r="S35" s="76"/>
      <c r="T35" s="77"/>
      <c r="U35" s="77"/>
      <c r="V35" s="78"/>
      <c r="W35" s="78"/>
      <c r="X35" s="78"/>
    </row>
    <row r="36" spans="1:27">
      <c r="A36" s="49" t="s">
        <v>26</v>
      </c>
      <c r="C36" s="79">
        <f>[1]CAP14!C36</f>
        <v>116.48481100680002</v>
      </c>
      <c r="D36" s="71"/>
      <c r="E36" s="79">
        <f>[1]CAP14!E36</f>
        <v>24.181756506400003</v>
      </c>
      <c r="F36" s="60">
        <v>1.5900000000000001E-2</v>
      </c>
      <c r="G36" s="80">
        <f>ROUND(C36*F36,0)</f>
        <v>2</v>
      </c>
      <c r="H36" s="72"/>
      <c r="I36" s="81">
        <v>0</v>
      </c>
      <c r="J36" s="81">
        <f>F36*E36</f>
        <v>0.38448992845176005</v>
      </c>
      <c r="K36" s="82">
        <f>J36+G36</f>
        <v>2.3844899284517602</v>
      </c>
      <c r="L36" s="82">
        <f>K36+G36</f>
        <v>4.3844899284517602</v>
      </c>
      <c r="M36" s="82">
        <f>L36+G36</f>
        <v>6.3844899284517602</v>
      </c>
      <c r="N36" s="61"/>
      <c r="O36" s="82">
        <f>ROUND(C36*$O$5,0)</f>
        <v>4</v>
      </c>
      <c r="P36" s="82">
        <f>ROUND(C36*$P$5,0)</f>
        <v>8</v>
      </c>
      <c r="Q36" s="82">
        <f>ROUND(C36*$Q$5,0)</f>
        <v>8</v>
      </c>
      <c r="R36" s="82">
        <f>ROUND(C36*$R$5,0)</f>
        <v>7</v>
      </c>
      <c r="S36" s="73"/>
      <c r="T36" s="81"/>
      <c r="U36" s="81">
        <f>ROUND((((O36-J36))*-0.35)+T36,0)</f>
        <v>-1</v>
      </c>
      <c r="V36" s="82">
        <f>ROUND(((P36-G36)*-0.35)+U36,0)</f>
        <v>-3</v>
      </c>
      <c r="W36" s="82">
        <f>ROUND(((Q36-G36)*-0.35)+V36,0)</f>
        <v>-5</v>
      </c>
      <c r="X36" s="82">
        <f>ROUND(((R36-G36)*-0.35)+W36,0)</f>
        <v>-7</v>
      </c>
      <c r="Z36" s="82">
        <v>0</v>
      </c>
      <c r="AA36" s="82">
        <v>0</v>
      </c>
    </row>
    <row r="37" spans="1:27" ht="6" customHeight="1">
      <c r="C37" s="77"/>
      <c r="D37" s="76"/>
      <c r="E37" s="77"/>
      <c r="G37" s="78"/>
      <c r="H37" s="72"/>
      <c r="I37" s="77"/>
      <c r="J37" s="77"/>
      <c r="K37" s="78"/>
      <c r="L37" s="78">
        <f>(-B14-B17)/2</f>
        <v>0</v>
      </c>
      <c r="M37" s="78"/>
      <c r="N37" s="72"/>
      <c r="O37" s="78"/>
      <c r="P37" s="78"/>
      <c r="Q37" s="78"/>
      <c r="R37" s="78"/>
      <c r="S37" s="76"/>
      <c r="T37" s="77"/>
      <c r="U37" s="77"/>
      <c r="V37" s="78"/>
      <c r="W37" s="78"/>
      <c r="X37" s="78"/>
      <c r="Z37" s="78"/>
    </row>
    <row r="38" spans="1:27">
      <c r="A38" s="49" t="s">
        <v>11</v>
      </c>
      <c r="C38" s="77"/>
      <c r="D38" s="76"/>
      <c r="E38" s="77"/>
      <c r="G38" s="78"/>
      <c r="H38" s="72"/>
      <c r="I38" s="77"/>
      <c r="J38" s="77"/>
      <c r="K38" s="78"/>
      <c r="L38" s="78"/>
      <c r="M38" s="78"/>
      <c r="N38" s="72"/>
      <c r="O38" s="78"/>
      <c r="P38" s="78"/>
      <c r="Q38" s="78"/>
      <c r="R38" s="78"/>
      <c r="S38" s="76"/>
      <c r="T38" s="77"/>
      <c r="U38" s="77"/>
      <c r="V38" s="78"/>
      <c r="W38" s="78"/>
      <c r="X38" s="78"/>
      <c r="Z38" s="78"/>
      <c r="AA38" s="78"/>
    </row>
    <row r="39" spans="1:27">
      <c r="A39" s="49" t="s">
        <v>21</v>
      </c>
      <c r="C39" s="71">
        <f>[1]CAP14!C39</f>
        <v>3451.8719999999998</v>
      </c>
      <c r="D39" s="71"/>
      <c r="E39" s="71">
        <f>[1]CAP14!E39</f>
        <v>598.44591666666668</v>
      </c>
      <c r="F39" s="60">
        <v>2.52E-2</v>
      </c>
      <c r="G39" s="72">
        <f>ROUND(C39*F39,0)</f>
        <v>87</v>
      </c>
      <c r="H39" s="72"/>
      <c r="I39" s="73">
        <v>0</v>
      </c>
      <c r="J39" s="73">
        <f>F39*E39</f>
        <v>15.0808371</v>
      </c>
      <c r="K39" s="61">
        <f>J39+G39</f>
        <v>102.0808371</v>
      </c>
      <c r="L39" s="61">
        <f>K39+G39</f>
        <v>189.0808371</v>
      </c>
      <c r="M39" s="61">
        <f>L39+G39</f>
        <v>276.0808371</v>
      </c>
      <c r="N39" s="61"/>
      <c r="O39" s="61">
        <f>ROUND(C39*$O$5,0)</f>
        <v>129</v>
      </c>
      <c r="P39" s="61">
        <f>ROUND(C39*$P$5,0)</f>
        <v>249</v>
      </c>
      <c r="Q39" s="61">
        <f>ROUND(C39*$Q$5,0)</f>
        <v>230</v>
      </c>
      <c r="R39" s="61">
        <f>ROUND(C39*$R$5,0)</f>
        <v>213</v>
      </c>
      <c r="S39" s="73"/>
      <c r="T39" s="73"/>
      <c r="U39" s="73">
        <f>ROUND((((O39-J39))*-0.35)+T39,0)</f>
        <v>-40</v>
      </c>
      <c r="V39" s="61">
        <f>ROUND(((P39-G39)*-0.35)+U39,0)</f>
        <v>-97</v>
      </c>
      <c r="W39" s="61">
        <f>ROUND(((Q39-G39)*-0.35)+V39,0)</f>
        <v>-147</v>
      </c>
      <c r="X39" s="61">
        <f>ROUND(((R39-G39)*-0.35)+W39,0)</f>
        <v>-191</v>
      </c>
      <c r="Z39" s="61">
        <v>-780</v>
      </c>
      <c r="AA39" s="61">
        <f>Z39*F39</f>
        <v>-19.655999999999999</v>
      </c>
    </row>
    <row r="40" spans="1:27">
      <c r="A40" s="49" t="s">
        <v>27</v>
      </c>
      <c r="C40" s="71">
        <f>[1]CAP14!C40</f>
        <v>1841.5023330220797</v>
      </c>
      <c r="D40" s="71"/>
      <c r="E40" s="71">
        <f>[1]CAP14!E40</f>
        <v>76.729263875919997</v>
      </c>
      <c r="F40" s="60">
        <v>2.52E-2</v>
      </c>
      <c r="G40" s="72">
        <f>ROUND(C40*F40,0)</f>
        <v>46</v>
      </c>
      <c r="H40" s="72"/>
      <c r="I40" s="73">
        <v>0</v>
      </c>
      <c r="J40" s="73">
        <f>F40*E40</f>
        <v>1.9335774496731839</v>
      </c>
      <c r="K40" s="61">
        <f>J40+G40</f>
        <v>47.933577449673187</v>
      </c>
      <c r="L40" s="61">
        <f>K40+G40</f>
        <v>93.93357744967318</v>
      </c>
      <c r="M40" s="61">
        <f>L40+G40</f>
        <v>139.93357744967318</v>
      </c>
      <c r="N40" s="61"/>
      <c r="O40" s="61">
        <f>ROUND(C40*$O$5,0)</f>
        <v>69</v>
      </c>
      <c r="P40" s="61">
        <f>ROUND(C40*$P$5,0)</f>
        <v>133</v>
      </c>
      <c r="Q40" s="61">
        <f>ROUND(C40*$Q$5,0)</f>
        <v>123</v>
      </c>
      <c r="R40" s="61">
        <f>ROUND(C40*$R$5,0)</f>
        <v>114</v>
      </c>
      <c r="S40" s="73"/>
      <c r="T40" s="73"/>
      <c r="U40" s="73">
        <f>ROUND((((O40-J40))*-0.35)+T40,0)</f>
        <v>-23</v>
      </c>
      <c r="V40" s="61">
        <f>ROUND(((P40-G40)*-0.35)+U40,0)</f>
        <v>-53</v>
      </c>
      <c r="W40" s="61">
        <f>ROUND(((Q40-G40)*-0.35)+V40,0)</f>
        <v>-80</v>
      </c>
      <c r="X40" s="61">
        <f>ROUND(((R40-G40)*-0.35)+W40,0)</f>
        <v>-104</v>
      </c>
      <c r="Z40" s="61"/>
      <c r="AA40" s="61"/>
    </row>
    <row r="41" spans="1:27">
      <c r="A41" s="49" t="s">
        <v>22</v>
      </c>
      <c r="C41" s="71">
        <f>[1]CAP14!C41</f>
        <v>34.056355500000002</v>
      </c>
      <c r="D41" s="71"/>
      <c r="E41" s="71">
        <f>[1]CAP14!E41</f>
        <v>2.1329580125000001</v>
      </c>
      <c r="F41" s="60">
        <v>2.52E-2</v>
      </c>
      <c r="G41" s="72">
        <f>ROUND(C41*F41,0)</f>
        <v>1</v>
      </c>
      <c r="H41" s="72"/>
      <c r="I41" s="73">
        <v>0</v>
      </c>
      <c r="J41" s="73">
        <f>F41*E41</f>
        <v>5.3750541915000005E-2</v>
      </c>
      <c r="K41" s="61">
        <f>J41+G41</f>
        <v>1.0537505419149999</v>
      </c>
      <c r="L41" s="61">
        <f>K41+G41</f>
        <v>2.0537505419149999</v>
      </c>
      <c r="M41" s="61">
        <f>L41+G41</f>
        <v>3.0537505419149999</v>
      </c>
      <c r="N41" s="61"/>
      <c r="O41" s="61">
        <f>ROUND(C41*$O$5,0)</f>
        <v>1</v>
      </c>
      <c r="P41" s="61">
        <f>ROUND(C41*$P$5,0)</f>
        <v>2</v>
      </c>
      <c r="Q41" s="61">
        <f>ROUND(C41*$Q$5,0)</f>
        <v>2</v>
      </c>
      <c r="R41" s="61">
        <f>ROUND(C41*$R$5,0)</f>
        <v>2</v>
      </c>
      <c r="S41" s="73"/>
      <c r="T41" s="73"/>
      <c r="U41" s="73">
        <f>ROUND((((O41-J41))*-0.35)+T41,0)</f>
        <v>0</v>
      </c>
      <c r="V41" s="61">
        <f>ROUND(((P41-G41)*-0.35)+U41,0)</f>
        <v>0</v>
      </c>
      <c r="W41" s="61">
        <f>ROUND(((Q41-G41)*-0.35)+V41,0)</f>
        <v>0</v>
      </c>
      <c r="X41" s="61">
        <f>ROUND(((R41-G41)*-0.35)+W41,0)</f>
        <v>0</v>
      </c>
      <c r="Z41" s="61"/>
      <c r="AA41" s="61"/>
    </row>
    <row r="42" spans="1:27">
      <c r="A42" s="49" t="s">
        <v>19</v>
      </c>
      <c r="C42" s="74">
        <f>SUM(C39:C41)</f>
        <v>5327.4306885220794</v>
      </c>
      <c r="D42" s="76"/>
      <c r="E42" s="74">
        <f>SUM(E39:E41)</f>
        <v>677.30813855508666</v>
      </c>
      <c r="F42" s="51"/>
      <c r="G42" s="75">
        <f t="shared" ref="G42:AA42" si="4">SUM(G39:G41)</f>
        <v>134</v>
      </c>
      <c r="H42" s="72"/>
      <c r="I42" s="74">
        <f t="shared" si="4"/>
        <v>0</v>
      </c>
      <c r="J42" s="74">
        <f t="shared" si="4"/>
        <v>17.068165091588185</v>
      </c>
      <c r="K42" s="75">
        <f t="shared" si="4"/>
        <v>151.06816509158818</v>
      </c>
      <c r="L42" s="75">
        <f t="shared" si="4"/>
        <v>285.06816509158818</v>
      </c>
      <c r="M42" s="75">
        <f t="shared" si="4"/>
        <v>419.06816509158818</v>
      </c>
      <c r="N42" s="72"/>
      <c r="O42" s="75">
        <f t="shared" si="4"/>
        <v>199</v>
      </c>
      <c r="P42" s="75">
        <f t="shared" si="4"/>
        <v>384</v>
      </c>
      <c r="Q42" s="75">
        <f t="shared" si="4"/>
        <v>355</v>
      </c>
      <c r="R42" s="75">
        <f>SUM(R39:R41)</f>
        <v>329</v>
      </c>
      <c r="S42" s="76"/>
      <c r="T42" s="74">
        <f t="shared" si="4"/>
        <v>0</v>
      </c>
      <c r="U42" s="74">
        <f t="shared" si="4"/>
        <v>-63</v>
      </c>
      <c r="V42" s="75">
        <f t="shared" si="4"/>
        <v>-150</v>
      </c>
      <c r="W42" s="75">
        <f t="shared" si="4"/>
        <v>-227</v>
      </c>
      <c r="X42" s="75">
        <f t="shared" si="4"/>
        <v>-295</v>
      </c>
      <c r="Z42" s="75">
        <f t="shared" si="4"/>
        <v>-780</v>
      </c>
      <c r="AA42" s="75">
        <f t="shared" si="4"/>
        <v>-19.655999999999999</v>
      </c>
    </row>
    <row r="43" spans="1:27" ht="7.5" customHeight="1">
      <c r="C43" s="77"/>
      <c r="D43" s="76"/>
      <c r="E43" s="77"/>
      <c r="G43" s="78"/>
      <c r="H43" s="72"/>
      <c r="I43" s="77"/>
      <c r="J43" s="77"/>
      <c r="K43" s="78"/>
      <c r="L43" s="78"/>
      <c r="M43" s="78"/>
      <c r="N43" s="72"/>
      <c r="O43" s="78"/>
      <c r="P43" s="78"/>
      <c r="Q43" s="78"/>
      <c r="R43" s="78"/>
      <c r="S43" s="76"/>
      <c r="T43" s="77"/>
      <c r="U43" s="77"/>
      <c r="V43" s="78"/>
      <c r="W43" s="78"/>
      <c r="X43" s="78"/>
      <c r="Z43" s="78"/>
      <c r="AA43" s="78"/>
    </row>
    <row r="44" spans="1:27">
      <c r="A44" s="49" t="s">
        <v>12</v>
      </c>
      <c r="C44" s="71">
        <f>[1]CAP14!C44</f>
        <v>825.390541153399</v>
      </c>
      <c r="D44" s="71"/>
      <c r="E44" s="71">
        <f>[1]CAP14!E44</f>
        <v>50.796333180782959</v>
      </c>
      <c r="F44" s="60">
        <v>3.6200000000000003E-2</v>
      </c>
      <c r="G44" s="72">
        <f>ROUND(C44*F44,0)</f>
        <v>30</v>
      </c>
      <c r="H44" s="72"/>
      <c r="I44" s="73">
        <v>0</v>
      </c>
      <c r="J44" s="73">
        <f>F44*E44</f>
        <v>1.8388272611443433</v>
      </c>
      <c r="K44" s="61">
        <f>J44+G44</f>
        <v>31.838827261144342</v>
      </c>
      <c r="L44" s="61">
        <f>K44+G44</f>
        <v>61.838827261144345</v>
      </c>
      <c r="M44" s="61">
        <f>L44+G44</f>
        <v>91.838827261144345</v>
      </c>
      <c r="N44" s="61"/>
      <c r="O44" s="61">
        <f>ROUND(C44*$O$6,0)</f>
        <v>118</v>
      </c>
      <c r="P44" s="61">
        <f>ROUND(C44*$P$6,0)</f>
        <v>202</v>
      </c>
      <c r="Q44" s="61">
        <f>ROUND(C44*$Q$6,0)</f>
        <v>144</v>
      </c>
      <c r="R44" s="61">
        <f>ROUND(C44*$R$6,0)</f>
        <v>103</v>
      </c>
      <c r="S44" s="73"/>
      <c r="T44" s="73"/>
      <c r="U44" s="73">
        <f>ROUND((((O44-J44))*-0.35)+T44,0)</f>
        <v>-41</v>
      </c>
      <c r="V44" s="61">
        <f>ROUND(((P44-G44)*-0.35)+U44,0)</f>
        <v>-101</v>
      </c>
      <c r="W44" s="61">
        <f>ROUND(((Q44-G44)*-0.35)+V44,0)</f>
        <v>-141</v>
      </c>
      <c r="X44" s="61">
        <f>ROUND(((R44-G44)*-0.35)+W44,0)</f>
        <v>-167</v>
      </c>
      <c r="Z44" s="61">
        <v>-1265</v>
      </c>
      <c r="AA44" s="61">
        <f>Z44*F44</f>
        <v>-45.793000000000006</v>
      </c>
    </row>
    <row r="45" spans="1:27">
      <c r="A45" s="49" t="s">
        <v>23</v>
      </c>
      <c r="C45" s="71">
        <f>[1]CAP14!C45</f>
        <v>250.75965480474702</v>
      </c>
      <c r="D45" s="71"/>
      <c r="E45" s="71">
        <f>[1]CAP14!E45</f>
        <v>26.048542377399208</v>
      </c>
      <c r="F45" s="60">
        <v>8.9200000000000002E-2</v>
      </c>
      <c r="G45" s="72">
        <f>ROUND(C45*F45,0)</f>
        <v>22</v>
      </c>
      <c r="H45" s="72"/>
      <c r="I45" s="73">
        <v>0</v>
      </c>
      <c r="J45" s="73">
        <f>F45*E45</f>
        <v>2.3235299800640092</v>
      </c>
      <c r="K45" s="61">
        <f>J45+G45</f>
        <v>24.323529980064009</v>
      </c>
      <c r="L45" s="61">
        <f>K45+G45</f>
        <v>46.323529980064009</v>
      </c>
      <c r="M45" s="61">
        <f>L45+G45</f>
        <v>68.323529980064009</v>
      </c>
      <c r="N45" s="61"/>
      <c r="O45" s="61">
        <f>ROUND(C45*$O$5,0)</f>
        <v>9</v>
      </c>
      <c r="P45" s="61">
        <f>ROUND(C45*$P$5,0)</f>
        <v>18</v>
      </c>
      <c r="Q45" s="61">
        <f>ROUND(C45*$Q$5,0)</f>
        <v>17</v>
      </c>
      <c r="R45" s="61">
        <f>ROUND(C45*$R$5,0)</f>
        <v>15</v>
      </c>
      <c r="S45" s="73"/>
      <c r="T45" s="73"/>
      <c r="U45" s="73">
        <f>ROUND((((O45-J45))*-0.35)+T45,0)</f>
        <v>-2</v>
      </c>
      <c r="V45" s="61">
        <f>ROUND(((P45-G45)*-0.35)+U45,0)</f>
        <v>-1</v>
      </c>
      <c r="W45" s="61">
        <f>ROUND(((Q45-G45)*-0.35)+V45,0)</f>
        <v>1</v>
      </c>
      <c r="X45" s="61">
        <f>ROUND(((R45-G45)*-0.35)+W45,0)</f>
        <v>3</v>
      </c>
      <c r="Z45" s="61"/>
      <c r="AA45" s="61"/>
    </row>
    <row r="46" spans="1:27">
      <c r="A46" s="49" t="s">
        <v>19</v>
      </c>
      <c r="C46" s="74">
        <f>SUM(C44:C45)</f>
        <v>1076.150195958146</v>
      </c>
      <c r="D46" s="76"/>
      <c r="E46" s="74">
        <f>SUM(E44:E45)</f>
        <v>76.844875558182167</v>
      </c>
      <c r="F46" s="76"/>
      <c r="G46" s="75">
        <f t="shared" ref="G46:AA46" si="5">SUM(G44:G45)</f>
        <v>52</v>
      </c>
      <c r="H46" s="72"/>
      <c r="I46" s="74">
        <f t="shared" si="5"/>
        <v>0</v>
      </c>
      <c r="J46" s="74">
        <f t="shared" si="5"/>
        <v>4.1623572412083529</v>
      </c>
      <c r="K46" s="74">
        <f t="shared" si="5"/>
        <v>56.162357241208355</v>
      </c>
      <c r="L46" s="74">
        <f>SUM(L44:L45)</f>
        <v>108.16235724120835</v>
      </c>
      <c r="M46" s="74">
        <f t="shared" si="5"/>
        <v>160.16235724120835</v>
      </c>
      <c r="N46" s="72"/>
      <c r="O46" s="75">
        <f t="shared" si="5"/>
        <v>127</v>
      </c>
      <c r="P46" s="75">
        <f t="shared" si="5"/>
        <v>220</v>
      </c>
      <c r="Q46" s="75">
        <f t="shared" si="5"/>
        <v>161</v>
      </c>
      <c r="R46" s="75">
        <f t="shared" si="5"/>
        <v>118</v>
      </c>
      <c r="S46" s="76"/>
      <c r="T46" s="74">
        <f t="shared" si="5"/>
        <v>0</v>
      </c>
      <c r="U46" s="74">
        <f t="shared" si="5"/>
        <v>-43</v>
      </c>
      <c r="V46" s="75">
        <f t="shared" si="5"/>
        <v>-102</v>
      </c>
      <c r="W46" s="75">
        <f t="shared" si="5"/>
        <v>-140</v>
      </c>
      <c r="X46" s="75">
        <f t="shared" si="5"/>
        <v>-164</v>
      </c>
      <c r="Z46" s="74">
        <f t="shared" si="5"/>
        <v>-1265</v>
      </c>
      <c r="AA46" s="74">
        <f t="shared" si="5"/>
        <v>-45.793000000000006</v>
      </c>
    </row>
    <row r="47" spans="1:27" ht="6" customHeight="1">
      <c r="C47" s="77"/>
      <c r="D47" s="76"/>
      <c r="E47" s="77"/>
      <c r="F47" s="60"/>
      <c r="G47" s="78"/>
      <c r="H47" s="72"/>
      <c r="I47" s="77"/>
      <c r="J47" s="77"/>
      <c r="K47" s="78"/>
      <c r="L47" s="78"/>
      <c r="M47" s="78"/>
      <c r="N47" s="72"/>
      <c r="O47" s="92"/>
      <c r="P47" s="78"/>
      <c r="Q47" s="78"/>
      <c r="R47" s="78"/>
      <c r="S47" s="76"/>
      <c r="T47" s="77"/>
      <c r="U47" s="77"/>
      <c r="V47" s="78"/>
      <c r="W47" s="78"/>
      <c r="X47" s="78"/>
      <c r="Z47" s="78"/>
      <c r="AA47" s="78"/>
    </row>
    <row r="48" spans="1:27">
      <c r="A48" s="47" t="s">
        <v>130</v>
      </c>
      <c r="C48" s="77">
        <f>[1]CAP14!C48</f>
        <v>780.16022009117501</v>
      </c>
      <c r="D48" s="76"/>
      <c r="E48" s="77">
        <f>[1]CAP14!E48</f>
        <v>56.549503954288859</v>
      </c>
      <c r="F48" s="48">
        <v>0.23699999999999999</v>
      </c>
      <c r="G48" s="72">
        <f>ROUND(C48*F48,0)</f>
        <v>185</v>
      </c>
      <c r="H48" s="72"/>
      <c r="I48" s="73">
        <v>0</v>
      </c>
      <c r="J48" s="73">
        <f>F48*E48</f>
        <v>13.402232437166459</v>
      </c>
      <c r="K48" s="61">
        <f>J48+G48</f>
        <v>198.40223243716645</v>
      </c>
      <c r="L48" s="61">
        <f>K48+G48</f>
        <v>383.40223243716645</v>
      </c>
      <c r="M48" s="61">
        <f>L48+G48</f>
        <v>568.4022324371665</v>
      </c>
      <c r="N48" s="61"/>
      <c r="O48" s="61">
        <f>ROUND(C48*$O$7,0)</f>
        <v>156</v>
      </c>
      <c r="P48" s="61">
        <f>ROUND(C48*$P$7,0)</f>
        <v>250</v>
      </c>
      <c r="Q48" s="61">
        <f>ROUND(C48*$Q$7,0)</f>
        <v>150</v>
      </c>
      <c r="R48" s="61">
        <f>ROUND(C48*$R$7,0)</f>
        <v>90</v>
      </c>
      <c r="S48" s="73"/>
      <c r="T48" s="73"/>
      <c r="U48" s="73">
        <f>ROUND((((O48-J48))*-0.35)+T48,0)</f>
        <v>-50</v>
      </c>
      <c r="V48" s="61">
        <f>ROUND(((P48-G48)*-0.35)+U48,0)</f>
        <v>-73</v>
      </c>
      <c r="W48" s="61">
        <f>ROUND(((Q48-G48)*-0.35)+V48,0)</f>
        <v>-61</v>
      </c>
      <c r="X48" s="61">
        <f>ROUND(((R48-G48)*-0.35)+W48,0)</f>
        <v>-28</v>
      </c>
      <c r="Z48" s="61">
        <f>-413*0.61</f>
        <v>-251.93</v>
      </c>
      <c r="AA48" s="61">
        <f>Z48*F48</f>
        <v>-59.707409999999996</v>
      </c>
    </row>
    <row r="49" spans="1:27">
      <c r="A49" s="47" t="s">
        <v>131</v>
      </c>
      <c r="C49" s="79">
        <f>[1]CAP14!C49</f>
        <v>498.79096038616109</v>
      </c>
      <c r="D49" s="71"/>
      <c r="E49" s="79">
        <f>[1]CAP14!E49</f>
        <v>36.154600888807629</v>
      </c>
      <c r="F49" s="60">
        <v>0.2</v>
      </c>
      <c r="G49" s="80">
        <f>ROUND(C49*F49,0)</f>
        <v>100</v>
      </c>
      <c r="H49" s="72"/>
      <c r="I49" s="81">
        <v>0</v>
      </c>
      <c r="J49" s="81">
        <f>F49*E49</f>
        <v>7.2309201777615257</v>
      </c>
      <c r="K49" s="82">
        <f>J49+G49</f>
        <v>107.23092017776153</v>
      </c>
      <c r="L49" s="82">
        <f>K49+G49</f>
        <v>207.23092017776153</v>
      </c>
      <c r="M49" s="82">
        <f>L49+G49</f>
        <v>307.2309201777615</v>
      </c>
      <c r="N49" s="61"/>
      <c r="O49" s="82">
        <f>ROUND(C49*$O$8,0)</f>
        <v>166</v>
      </c>
      <c r="P49" s="82">
        <f>ROUND(C49*$P$8,0)</f>
        <v>222</v>
      </c>
      <c r="Q49" s="82">
        <f>ROUND(C49*$Q$8,0)</f>
        <v>74</v>
      </c>
      <c r="R49" s="81">
        <f>ROUND(C49*$R$8,0)</f>
        <v>37</v>
      </c>
      <c r="S49" s="73"/>
      <c r="T49" s="81"/>
      <c r="U49" s="73">
        <f>ROUND((((O49-J49))*-0.35)+T49,0)</f>
        <v>-56</v>
      </c>
      <c r="V49" s="82">
        <f>ROUND(((P49-G49)*-0.35)+U49,0)</f>
        <v>-99</v>
      </c>
      <c r="W49" s="82">
        <f>ROUND(((Q49-G49)*-0.35)+V49,0)</f>
        <v>-90</v>
      </c>
      <c r="X49" s="82">
        <f>ROUND(((R49-G49)*-0.35)+W49,0)</f>
        <v>-68</v>
      </c>
      <c r="Z49" s="61">
        <f>-413*0.39</f>
        <v>-161.07</v>
      </c>
      <c r="AA49" s="61">
        <f>Z49*F49</f>
        <v>-32.213999999999999</v>
      </c>
    </row>
    <row r="50" spans="1:27">
      <c r="A50" s="49" t="s">
        <v>79</v>
      </c>
      <c r="C50" s="97">
        <f>SUM(C48:C49)</f>
        <v>1278.951180477336</v>
      </c>
      <c r="D50" s="71"/>
      <c r="E50" s="97">
        <f>SUM(E48:E49)</f>
        <v>92.704104843096488</v>
      </c>
      <c r="F50" s="60"/>
      <c r="G50" s="97">
        <f>SUM(G48:G49)</f>
        <v>285</v>
      </c>
      <c r="H50" s="72"/>
      <c r="I50" s="97">
        <f>SUM(I48:I49)</f>
        <v>0</v>
      </c>
      <c r="J50" s="97">
        <f>SUM(J48:J49)</f>
        <v>20.633152614927987</v>
      </c>
      <c r="K50" s="97">
        <f>SUM(K48:K49)</f>
        <v>305.63315261492801</v>
      </c>
      <c r="L50" s="97">
        <f>SUM(L48:L49)</f>
        <v>590.63315261492801</v>
      </c>
      <c r="M50" s="97">
        <f>SUM(M48:M49)</f>
        <v>875.63315261492801</v>
      </c>
      <c r="N50" s="61"/>
      <c r="O50" s="97">
        <f>SUM(O48:O49)</f>
        <v>322</v>
      </c>
      <c r="P50" s="97">
        <f>SUM(P48:P49)</f>
        <v>472</v>
      </c>
      <c r="Q50" s="97">
        <f>SUM(Q48:Q49)</f>
        <v>224</v>
      </c>
      <c r="R50" s="97">
        <f>SUM(R48:R49)</f>
        <v>127</v>
      </c>
      <c r="S50" s="73"/>
      <c r="T50" s="97">
        <f>SUM(T48:T49)</f>
        <v>0</v>
      </c>
      <c r="U50" s="97">
        <f>SUM(U48:U49)</f>
        <v>-106</v>
      </c>
      <c r="V50" s="97">
        <f>SUM(V48:V49)</f>
        <v>-172</v>
      </c>
      <c r="W50" s="97">
        <f>SUM(W48:W49)</f>
        <v>-151</v>
      </c>
      <c r="X50" s="97">
        <f>SUM(X48:X49)</f>
        <v>-96</v>
      </c>
      <c r="Z50" s="97">
        <f>SUM(Z48:Z49)</f>
        <v>-413</v>
      </c>
      <c r="AA50" s="97">
        <f>SUM(AA48:AA49)</f>
        <v>-91.921409999999995</v>
      </c>
    </row>
    <row r="51" spans="1:27">
      <c r="C51" s="77"/>
      <c r="D51" s="76"/>
      <c r="E51" s="77"/>
      <c r="F51" s="60"/>
      <c r="G51" s="78"/>
      <c r="H51" s="72"/>
      <c r="I51" s="77"/>
      <c r="J51" s="77"/>
      <c r="K51" s="78"/>
      <c r="L51" s="78"/>
      <c r="M51" s="78"/>
      <c r="N51" s="72"/>
      <c r="O51" s="78"/>
      <c r="P51" s="78"/>
      <c r="Q51" s="78"/>
      <c r="R51" s="78"/>
      <c r="S51" s="76"/>
      <c r="T51" s="77"/>
      <c r="U51" s="77"/>
      <c r="V51" s="78"/>
      <c r="W51" s="78"/>
      <c r="X51" s="78"/>
      <c r="Z51" s="78"/>
    </row>
    <row r="52" spans="1:27" s="88" customFormat="1" ht="13.5" thickBot="1">
      <c r="A52" s="88" t="s">
        <v>28</v>
      </c>
      <c r="C52" s="93">
        <f>SUM(C36,C42,C46,C50,)</f>
        <v>7799.0168759643602</v>
      </c>
      <c r="D52" s="86"/>
      <c r="E52" s="93">
        <f>SUM(E36,E42,E46,E50,)</f>
        <v>871.0388754627653</v>
      </c>
      <c r="F52" s="52"/>
      <c r="G52" s="93">
        <f>SUM(G36,G42,G46,G50,)</f>
        <v>473</v>
      </c>
      <c r="H52" s="86"/>
      <c r="I52" s="93">
        <f>SUM(I36,I42,I46,I50,)</f>
        <v>0</v>
      </c>
      <c r="J52" s="93">
        <f>SUM(J36,J42,J46,J50,)</f>
        <v>42.248164876176283</v>
      </c>
      <c r="K52" s="93">
        <f>SUM(K36,K42,K46,K50,)</f>
        <v>515.24816487617636</v>
      </c>
      <c r="L52" s="93">
        <f>SUM(L36,L42,L46,L50,)</f>
        <v>988.24816487617636</v>
      </c>
      <c r="M52" s="93">
        <f>SUM(M36,M42,M46,M50,)</f>
        <v>1461.2481648761764</v>
      </c>
      <c r="N52" s="86"/>
      <c r="O52" s="93">
        <f>SUM(O36,O42,O46,O50,)</f>
        <v>652</v>
      </c>
      <c r="P52" s="93">
        <f>SUM(P36,P42,P46,P50,)</f>
        <v>1084</v>
      </c>
      <c r="Q52" s="93">
        <f>SUM(Q36,Q42,Q46,Q50,)</f>
        <v>748</v>
      </c>
      <c r="R52" s="93">
        <f>SUM(R36,R42,R46,R50,)</f>
        <v>581</v>
      </c>
      <c r="S52" s="87"/>
      <c r="T52" s="93">
        <f>SUM(T36,T42,T46,T50,)</f>
        <v>0</v>
      </c>
      <c r="U52" s="93">
        <f>SUM(U36,U42,U46,U50,)</f>
        <v>-213</v>
      </c>
      <c r="V52" s="93">
        <f>SUM(V36,V42,V46,V50,)</f>
        <v>-427</v>
      </c>
      <c r="W52" s="93">
        <f>SUM(W36,W42,W46,W50,)</f>
        <v>-523</v>
      </c>
      <c r="X52" s="93">
        <f>SUM(X36,X42,X46,X50,)</f>
        <v>-562</v>
      </c>
      <c r="Z52" s="93">
        <f>SUM(Z36,Z42,Z46,Z50,)</f>
        <v>-2458</v>
      </c>
      <c r="AA52" s="93">
        <f>SUM(AA36,AA42,AA46,AA50,)</f>
        <v>-157.37040999999999</v>
      </c>
    </row>
    <row r="53" spans="1:27">
      <c r="C53" s="149" t="s">
        <v>118</v>
      </c>
      <c r="D53" s="149"/>
      <c r="E53" s="149" t="s">
        <v>118</v>
      </c>
      <c r="G53" s="278" t="s">
        <v>118</v>
      </c>
      <c r="H53" s="278"/>
      <c r="J53" s="278" t="s">
        <v>118</v>
      </c>
      <c r="K53" s="278"/>
      <c r="P53" s="278" t="s">
        <v>117</v>
      </c>
      <c r="Q53" s="278"/>
      <c r="U53" s="278" t="s">
        <v>117</v>
      </c>
      <c r="V53" s="278"/>
      <c r="Z53" s="278" t="s">
        <v>118</v>
      </c>
      <c r="AA53" s="278"/>
    </row>
    <row r="54" spans="1:27" ht="40.5" customHeight="1">
      <c r="A54" s="262" t="s">
        <v>82</v>
      </c>
      <c r="B54" s="262"/>
      <c r="C54" s="262"/>
      <c r="D54" s="262"/>
      <c r="E54" s="262"/>
      <c r="F54" s="262"/>
      <c r="G54" s="262"/>
      <c r="H54" s="262"/>
      <c r="I54" s="262"/>
      <c r="J54" s="262"/>
      <c r="K54" s="262"/>
      <c r="L54" s="262"/>
      <c r="M54" s="262"/>
    </row>
    <row r="55" spans="1:27">
      <c r="C55" s="94"/>
      <c r="D55" s="94"/>
      <c r="E55" s="94"/>
      <c r="J55" s="94"/>
    </row>
    <row r="56" spans="1:27">
      <c r="F56" s="101"/>
      <c r="G56" s="102"/>
      <c r="J56" s="94"/>
    </row>
    <row r="57" spans="1:27">
      <c r="J57" s="94"/>
    </row>
    <row r="58" spans="1:27">
      <c r="V58" s="47"/>
    </row>
  </sheetData>
  <mergeCells count="15">
    <mergeCell ref="Z10:AA10"/>
    <mergeCell ref="I10:M10"/>
    <mergeCell ref="O10:R10"/>
    <mergeCell ref="T10:X10"/>
    <mergeCell ref="A54:M54"/>
    <mergeCell ref="G34:H34"/>
    <mergeCell ref="J34:K34"/>
    <mergeCell ref="G53:H53"/>
    <mergeCell ref="J53:K53"/>
    <mergeCell ref="U34:V34"/>
    <mergeCell ref="U53:V53"/>
    <mergeCell ref="P34:Q34"/>
    <mergeCell ref="P53:Q53"/>
    <mergeCell ref="Z34:AA34"/>
    <mergeCell ref="Z53:AA53"/>
  </mergeCells>
  <pageMargins left="0.25" right="0" top="0.25" bottom="0.5" header="0" footer="0"/>
  <pageSetup scale="76" orientation="landscape" r:id="rId1"/>
  <headerFooter scaleWithDoc="0" alignWithMargins="0">
    <oddFooter>&amp;L&amp;A
&amp;RPage &amp;P of &amp;N
KKS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topLeftCell="H1" zoomScale="90" zoomScaleNormal="90" workbookViewId="0">
      <selection activeCell="W13" sqref="W13"/>
    </sheetView>
  </sheetViews>
  <sheetFormatPr defaultRowHeight="12.75"/>
  <cols>
    <col min="1" max="1" width="21.28515625" style="49" bestFit="1" customWidth="1"/>
    <col min="2" max="2" width="8.5703125" style="49" bestFit="1" customWidth="1"/>
    <col min="3" max="3" width="12.5703125" style="47" bestFit="1" customWidth="1"/>
    <col min="4" max="4" width="8.5703125" style="47" bestFit="1" customWidth="1"/>
    <col min="5" max="5" width="11.140625" style="47" bestFit="1" customWidth="1"/>
    <col min="6" max="6" width="10.85546875" style="48" bestFit="1" customWidth="1"/>
    <col min="7" max="7" width="16" style="49" customWidth="1"/>
    <col min="8" max="8" width="2.7109375" style="50" customWidth="1"/>
    <col min="9" max="9" width="9.85546875" style="47" customWidth="1"/>
    <col min="10" max="10" width="10.140625" style="47" bestFit="1" customWidth="1"/>
    <col min="11" max="11" width="10.42578125" style="49" bestFit="1" customWidth="1"/>
    <col min="12" max="12" width="11.28515625" style="49" bestFit="1" customWidth="1"/>
    <col min="13" max="13" width="2.7109375" style="50" customWidth="1"/>
    <col min="14" max="14" width="12.42578125" style="49" bestFit="1" customWidth="1"/>
    <col min="15" max="16" width="12" style="49" bestFit="1" customWidth="1"/>
    <col min="17" max="17" width="2.7109375" style="51" customWidth="1"/>
    <col min="18" max="18" width="8.85546875" style="47" bestFit="1" customWidth="1"/>
    <col min="19" max="19" width="10.5703125" style="47" bestFit="1" customWidth="1"/>
    <col min="20" max="20" width="11.140625" style="49" bestFit="1" customWidth="1"/>
    <col min="21" max="21" width="11.85546875" style="49" bestFit="1" customWidth="1"/>
    <col min="22" max="22" width="9.140625" style="49"/>
    <col min="23" max="23" width="12.5703125" style="49" customWidth="1"/>
    <col min="24" max="24" width="10.7109375" style="49" customWidth="1"/>
    <col min="25" max="16384" width="9.140625" style="49"/>
  </cols>
  <sheetData>
    <row r="1" spans="1:24">
      <c r="A1" s="46" t="s">
        <v>80</v>
      </c>
      <c r="B1" s="46"/>
    </row>
    <row r="2" spans="1:24">
      <c r="A2" s="46" t="s">
        <v>81</v>
      </c>
      <c r="B2" s="46"/>
    </row>
    <row r="3" spans="1:24">
      <c r="A3" s="52" t="str">
        <f>'E-CAP14, G-CAP14'!A3</f>
        <v>Test Year Ended September 30, 2014 Ratebase Adjusted to 12/31/16 AMA</v>
      </c>
      <c r="B3" s="52"/>
    </row>
    <row r="4" spans="1:24" s="57" customFormat="1" ht="25.5">
      <c r="A4" s="53"/>
      <c r="B4" s="53"/>
      <c r="C4" s="54"/>
      <c r="D4" s="54"/>
      <c r="E4" s="53"/>
      <c r="F4" s="55"/>
      <c r="G4" s="56" t="s">
        <v>32</v>
      </c>
      <c r="H4" s="56"/>
      <c r="I4" s="53"/>
      <c r="J4" s="53"/>
      <c r="N4" s="58" t="s">
        <v>0</v>
      </c>
      <c r="O4" s="58" t="s">
        <v>1</v>
      </c>
      <c r="P4" s="58" t="s">
        <v>69</v>
      </c>
      <c r="Q4" s="59"/>
      <c r="R4" s="53"/>
      <c r="S4" s="53"/>
    </row>
    <row r="5" spans="1:24" s="50" customFormat="1">
      <c r="A5" s="51"/>
      <c r="B5" s="51"/>
      <c r="C5" s="52"/>
      <c r="D5" s="52"/>
      <c r="E5" s="51"/>
      <c r="F5" s="60"/>
      <c r="G5" s="61" t="s">
        <v>33</v>
      </c>
      <c r="H5" s="61"/>
      <c r="I5" s="51"/>
      <c r="J5" s="51"/>
      <c r="N5" s="62">
        <v>3.7499999999999999E-2</v>
      </c>
      <c r="O5" s="62">
        <v>7.2190000000000004E-2</v>
      </c>
      <c r="P5" s="63">
        <v>6.6769999999999996E-2</v>
      </c>
      <c r="Q5" s="63"/>
      <c r="R5" s="51"/>
      <c r="S5" s="51"/>
    </row>
    <row r="6" spans="1:24" s="50" customFormat="1">
      <c r="A6" s="52"/>
      <c r="B6" s="52"/>
      <c r="C6" s="52"/>
      <c r="D6" s="52"/>
      <c r="E6" s="51"/>
      <c r="F6" s="60"/>
      <c r="G6" s="61" t="s">
        <v>13</v>
      </c>
      <c r="H6" s="61"/>
      <c r="I6" s="51"/>
      <c r="J6" s="51"/>
      <c r="N6" s="64">
        <v>0.14280000000000001</v>
      </c>
      <c r="O6" s="64">
        <v>0.24490000000000001</v>
      </c>
      <c r="P6" s="65">
        <v>0.1749</v>
      </c>
      <c r="Q6" s="65"/>
      <c r="R6" s="51"/>
      <c r="S6" s="51"/>
    </row>
    <row r="7" spans="1:24" s="50" customFormat="1" ht="13.5" thickBot="1">
      <c r="A7" s="52"/>
      <c r="B7" s="52"/>
      <c r="C7" s="52"/>
      <c r="D7" s="52"/>
      <c r="E7" s="51"/>
      <c r="F7" s="60"/>
      <c r="G7" s="61" t="s">
        <v>107</v>
      </c>
      <c r="H7" s="61"/>
      <c r="I7" s="51"/>
      <c r="J7" s="51"/>
      <c r="N7" s="64">
        <v>0.2</v>
      </c>
      <c r="O7" s="64">
        <v>0.32</v>
      </c>
      <c r="P7" s="65">
        <v>0.192</v>
      </c>
      <c r="Q7" s="65"/>
      <c r="R7" s="51"/>
      <c r="S7" s="51"/>
    </row>
    <row r="8" spans="1:24" s="50" customFormat="1">
      <c r="A8" s="52"/>
      <c r="B8" s="52"/>
      <c r="C8" s="52"/>
      <c r="D8" s="52"/>
      <c r="E8" s="51"/>
      <c r="F8" s="60"/>
      <c r="G8" s="61" t="s">
        <v>24</v>
      </c>
      <c r="H8" s="61"/>
      <c r="I8" s="51"/>
      <c r="J8" s="51"/>
      <c r="N8" s="64">
        <v>0.33329999999999999</v>
      </c>
      <c r="O8" s="64">
        <v>0.44450000000000001</v>
      </c>
      <c r="P8" s="65">
        <v>0.14810000000000001</v>
      </c>
      <c r="Q8" s="65"/>
      <c r="R8" s="51"/>
      <c r="S8" s="51"/>
      <c r="W8" s="294" t="s">
        <v>286</v>
      </c>
      <c r="X8" s="295"/>
    </row>
    <row r="9" spans="1:24" s="50" customFormat="1" ht="13.5" thickBot="1">
      <c r="A9" s="51"/>
      <c r="B9" s="51"/>
      <c r="C9" s="51"/>
      <c r="D9" s="51"/>
      <c r="E9" s="51"/>
      <c r="F9" s="60"/>
      <c r="I9" s="51"/>
      <c r="J9" s="51"/>
      <c r="O9" s="51"/>
      <c r="P9" s="51"/>
      <c r="Q9" s="51"/>
      <c r="R9" s="51"/>
      <c r="S9" s="51"/>
      <c r="W9" s="296"/>
      <c r="X9" s="297"/>
    </row>
    <row r="10" spans="1:24" s="50" customFormat="1">
      <c r="A10" s="51"/>
      <c r="B10" s="51"/>
      <c r="C10" s="51"/>
      <c r="D10" s="51"/>
      <c r="E10" s="51"/>
      <c r="F10" s="60"/>
      <c r="I10" s="274" t="s">
        <v>59</v>
      </c>
      <c r="J10" s="275"/>
      <c r="K10" s="275"/>
      <c r="L10" s="276"/>
      <c r="M10" s="66"/>
      <c r="N10" s="272" t="s">
        <v>76</v>
      </c>
      <c r="O10" s="277"/>
      <c r="P10" s="273"/>
      <c r="Q10" s="66"/>
      <c r="R10" s="272" t="s">
        <v>77</v>
      </c>
      <c r="S10" s="277"/>
      <c r="T10" s="277"/>
      <c r="U10" s="273"/>
      <c r="W10" s="292" t="s">
        <v>133</v>
      </c>
      <c r="X10" s="293"/>
    </row>
    <row r="11" spans="1:24" s="59" customFormat="1" ht="38.25">
      <c r="A11" s="67" t="s">
        <v>9</v>
      </c>
      <c r="B11" s="67"/>
      <c r="C11" s="67" t="s">
        <v>29</v>
      </c>
      <c r="D11" s="67"/>
      <c r="E11" s="67" t="s">
        <v>30</v>
      </c>
      <c r="F11" s="68" t="s">
        <v>31</v>
      </c>
      <c r="G11" s="69" t="s">
        <v>14</v>
      </c>
      <c r="H11" s="69"/>
      <c r="I11" s="70" t="s">
        <v>65</v>
      </c>
      <c r="J11" s="70" t="s">
        <v>68</v>
      </c>
      <c r="K11" s="70" t="s">
        <v>78</v>
      </c>
      <c r="L11" s="70" t="s">
        <v>105</v>
      </c>
      <c r="M11" s="70"/>
      <c r="N11" s="70">
        <v>2015</v>
      </c>
      <c r="O11" s="70">
        <v>2016</v>
      </c>
      <c r="P11" s="70">
        <v>2017</v>
      </c>
      <c r="Q11" s="70"/>
      <c r="R11" s="70" t="s">
        <v>65</v>
      </c>
      <c r="S11" s="70" t="s">
        <v>68</v>
      </c>
      <c r="T11" s="70" t="s">
        <v>78</v>
      </c>
      <c r="U11" s="70" t="s">
        <v>105</v>
      </c>
      <c r="W11" s="70" t="s">
        <v>133</v>
      </c>
      <c r="X11" s="70" t="s">
        <v>137</v>
      </c>
    </row>
    <row r="12" spans="1:24">
      <c r="A12" s="47" t="s">
        <v>15</v>
      </c>
      <c r="B12" s="47"/>
      <c r="D12" s="51"/>
      <c r="O12" s="47"/>
      <c r="P12" s="47"/>
    </row>
    <row r="13" spans="1:24">
      <c r="A13" s="47" t="s">
        <v>16</v>
      </c>
      <c r="B13" s="47"/>
      <c r="C13" s="71">
        <f>[2]CAP15!C13</f>
        <v>0</v>
      </c>
      <c r="D13" s="71"/>
      <c r="E13" s="71">
        <f>[2]CAP15!E13</f>
        <v>0</v>
      </c>
      <c r="F13" s="60">
        <v>1.9199999999999998E-2</v>
      </c>
      <c r="G13" s="72">
        <f>ROUND(C13*F13,0)</f>
        <v>0</v>
      </c>
      <c r="H13" s="72"/>
      <c r="I13" s="73">
        <v>0</v>
      </c>
      <c r="J13" s="73">
        <f>F13*E13</f>
        <v>0</v>
      </c>
      <c r="K13" s="61">
        <f>J13+G13</f>
        <v>0</v>
      </c>
      <c r="L13" s="61">
        <f>K13+G13</f>
        <v>0</v>
      </c>
      <c r="M13" s="61"/>
      <c r="N13" s="61">
        <f>ROUND(C13*$N$5,0)</f>
        <v>0</v>
      </c>
      <c r="O13" s="61">
        <f>ROUND(C13*$O$5,0)</f>
        <v>0</v>
      </c>
      <c r="P13" s="61">
        <f>ROUND(C13*$P$5,0)</f>
        <v>0</v>
      </c>
      <c r="Q13" s="73"/>
      <c r="R13" s="73"/>
      <c r="S13" s="73">
        <f>ROUND(((N13-J13)*-0.35)+R13,0)</f>
        <v>0</v>
      </c>
      <c r="T13" s="61">
        <f>ROUND(((O13-G13)*-0.35)+S13,0)</f>
        <v>0</v>
      </c>
      <c r="U13" s="61">
        <f>ROUND(((P13-G13)*-0.35)+T13,0)</f>
        <v>0</v>
      </c>
      <c r="W13" s="61">
        <f>-1387*0</f>
        <v>0</v>
      </c>
      <c r="X13" s="61">
        <f>W13*F13</f>
        <v>0</v>
      </c>
    </row>
    <row r="14" spans="1:24">
      <c r="A14" s="47" t="s">
        <v>17</v>
      </c>
      <c r="B14" s="47"/>
      <c r="C14" s="71">
        <f>[2]CAP15!C14</f>
        <v>11884.948</v>
      </c>
      <c r="D14" s="71"/>
      <c r="E14" s="71">
        <f>[2]CAP15!E14</f>
        <v>7767.2647500000021</v>
      </c>
      <c r="F14" s="60">
        <v>1.8700000000000001E-2</v>
      </c>
      <c r="G14" s="72">
        <f>ROUND(C14*F14,0)</f>
        <v>222</v>
      </c>
      <c r="H14" s="72"/>
      <c r="I14" s="73">
        <v>0</v>
      </c>
      <c r="J14" s="73">
        <f>F14*E14</f>
        <v>145.24785082500006</v>
      </c>
      <c r="K14" s="61">
        <f>J14+G14</f>
        <v>367.24785082500006</v>
      </c>
      <c r="L14" s="61">
        <f>K14+G14</f>
        <v>589.24785082500011</v>
      </c>
      <c r="M14" s="61"/>
      <c r="N14" s="61">
        <f>ROUND(C14*$N$5,0)</f>
        <v>446</v>
      </c>
      <c r="O14" s="61">
        <f>ROUND(C14*$O$5,0)</f>
        <v>858</v>
      </c>
      <c r="P14" s="61">
        <f>ROUND(C14*$P$5,0)</f>
        <v>794</v>
      </c>
      <c r="Q14" s="73"/>
      <c r="R14" s="73"/>
      <c r="S14" s="73">
        <f>ROUND(((N14-J14)*-0.35)+R14,0)</f>
        <v>-105</v>
      </c>
      <c r="T14" s="61">
        <f>ROUND(((O14-G14)*-0.35)+S14,0)</f>
        <v>-328</v>
      </c>
      <c r="U14" s="61">
        <f>ROUND(((P14-G14)*-0.35)+T14,0)</f>
        <v>-528</v>
      </c>
      <c r="W14" s="61">
        <f>-515*0</f>
        <v>0</v>
      </c>
      <c r="X14" s="61">
        <f t="shared" ref="X14:X15" si="0">W14*F14</f>
        <v>0</v>
      </c>
    </row>
    <row r="15" spans="1:24">
      <c r="A15" s="47" t="s">
        <v>18</v>
      </c>
      <c r="B15" s="47"/>
      <c r="C15" s="71">
        <f>[2]CAP15!C15</f>
        <v>0</v>
      </c>
      <c r="D15" s="71"/>
      <c r="E15" s="71">
        <f>[2]CAP15!E15</f>
        <v>0</v>
      </c>
      <c r="F15" s="60">
        <v>3.2300000000000002E-2</v>
      </c>
      <c r="G15" s="72">
        <f>ROUND(C15*F15,0)</f>
        <v>0</v>
      </c>
      <c r="H15" s="72"/>
      <c r="I15" s="73">
        <v>0</v>
      </c>
      <c r="J15" s="73">
        <f>F15*E15</f>
        <v>0</v>
      </c>
      <c r="K15" s="61">
        <f>J15+G15</f>
        <v>0</v>
      </c>
      <c r="L15" s="61">
        <f>K15+G15</f>
        <v>0</v>
      </c>
      <c r="M15" s="61"/>
      <c r="N15" s="61">
        <f>ROUND(C15*$N$5,0)</f>
        <v>0</v>
      </c>
      <c r="O15" s="61">
        <f>ROUND(C15*$O$5,0)</f>
        <v>0</v>
      </c>
      <c r="P15" s="61">
        <f>ROUND(C15*$P$5,0)</f>
        <v>0</v>
      </c>
      <c r="Q15" s="73"/>
      <c r="R15" s="73"/>
      <c r="S15" s="73">
        <f>ROUND(((N15-J15)*-0.35)+R15,0)</f>
        <v>0</v>
      </c>
      <c r="T15" s="61">
        <f>ROUND(((O15-G15)*-0.35)+S15,0)</f>
        <v>0</v>
      </c>
      <c r="U15" s="61">
        <f>ROUND(((P15-G15)*-0.35)+T15,0)</f>
        <v>0</v>
      </c>
      <c r="W15" s="61">
        <f>-336*0</f>
        <v>0</v>
      </c>
      <c r="X15" s="61">
        <f t="shared" si="0"/>
        <v>0</v>
      </c>
    </row>
    <row r="16" spans="1:24">
      <c r="A16" s="47" t="s">
        <v>19</v>
      </c>
      <c r="B16" s="148" t="s">
        <v>119</v>
      </c>
      <c r="C16" s="74">
        <f>SUM(C13:C15)</f>
        <v>11884.948</v>
      </c>
      <c r="D16" s="148" t="s">
        <v>119</v>
      </c>
      <c r="E16" s="74">
        <f>SUM(E13:E15)</f>
        <v>7767.2647500000021</v>
      </c>
      <c r="F16" s="51"/>
      <c r="G16" s="75">
        <f t="shared" ref="G16:X16" si="1">SUM(G13:G15)</f>
        <v>222</v>
      </c>
      <c r="H16" s="72"/>
      <c r="I16" s="74">
        <f t="shared" si="1"/>
        <v>0</v>
      </c>
      <c r="J16" s="74">
        <f t="shared" si="1"/>
        <v>145.24785082500006</v>
      </c>
      <c r="K16" s="75">
        <f t="shared" si="1"/>
        <v>367.24785082500006</v>
      </c>
      <c r="L16" s="75">
        <f t="shared" si="1"/>
        <v>589.24785082500011</v>
      </c>
      <c r="M16" s="72"/>
      <c r="N16" s="75">
        <f t="shared" si="1"/>
        <v>446</v>
      </c>
      <c r="O16" s="75">
        <f t="shared" si="1"/>
        <v>858</v>
      </c>
      <c r="P16" s="75">
        <f t="shared" si="1"/>
        <v>794</v>
      </c>
      <c r="Q16" s="76"/>
      <c r="R16" s="74">
        <f t="shared" si="1"/>
        <v>0</v>
      </c>
      <c r="S16" s="74">
        <f t="shared" si="1"/>
        <v>-105</v>
      </c>
      <c r="T16" s="75">
        <f t="shared" si="1"/>
        <v>-328</v>
      </c>
      <c r="U16" s="75">
        <f t="shared" si="1"/>
        <v>-528</v>
      </c>
      <c r="W16" s="75">
        <f t="shared" si="1"/>
        <v>0</v>
      </c>
      <c r="X16" s="75">
        <f t="shared" si="1"/>
        <v>0</v>
      </c>
    </row>
    <row r="17" spans="1:24" ht="6" customHeight="1">
      <c r="A17" s="47"/>
      <c r="B17" s="47"/>
      <c r="C17" s="77"/>
      <c r="D17" s="76"/>
      <c r="E17" s="77"/>
      <c r="G17" s="78"/>
      <c r="H17" s="72"/>
      <c r="I17" s="77"/>
      <c r="J17" s="77"/>
      <c r="K17" s="78"/>
      <c r="L17" s="78"/>
      <c r="M17" s="72"/>
      <c r="N17" s="78"/>
      <c r="O17" s="78"/>
      <c r="P17" s="78"/>
      <c r="Q17" s="76"/>
      <c r="R17" s="77"/>
      <c r="S17" s="77"/>
      <c r="T17" s="78"/>
      <c r="U17" s="78"/>
      <c r="W17" s="78"/>
      <c r="X17" s="78"/>
    </row>
    <row r="18" spans="1:24">
      <c r="A18" s="47" t="s">
        <v>20</v>
      </c>
      <c r="B18" s="47"/>
      <c r="C18" s="79">
        <f>[2]CAP15!C18</f>
        <v>0</v>
      </c>
      <c r="D18" s="71"/>
      <c r="E18" s="79">
        <f>[2]CAP15!E18</f>
        <v>0</v>
      </c>
      <c r="F18" s="60">
        <v>1.8200000000000001E-2</v>
      </c>
      <c r="G18" s="80">
        <f>ROUND(C18*F18,0)</f>
        <v>0</v>
      </c>
      <c r="H18" s="72"/>
      <c r="I18" s="81">
        <v>0</v>
      </c>
      <c r="J18" s="81">
        <f>F18*E18</f>
        <v>0</v>
      </c>
      <c r="K18" s="82">
        <f>J18+G18</f>
        <v>0</v>
      </c>
      <c r="L18" s="82">
        <f>K18+G18</f>
        <v>0</v>
      </c>
      <c r="M18" s="61"/>
      <c r="N18" s="82">
        <f>ROUND(C18*$N$5,0)</f>
        <v>0</v>
      </c>
      <c r="O18" s="82">
        <f>ROUND(C18*$O$5,0)</f>
        <v>0</v>
      </c>
      <c r="P18" s="82">
        <f>ROUND(C18*$P$5,0)</f>
        <v>0</v>
      </c>
      <c r="Q18" s="73"/>
      <c r="R18" s="81"/>
      <c r="S18" s="81">
        <f>ROUND(((N18-J18)*-0.35)+R18,0)</f>
        <v>0</v>
      </c>
      <c r="T18" s="82">
        <f>ROUND(((O18-G18)*-0.35)+S18,0)</f>
        <v>0</v>
      </c>
      <c r="U18" s="82">
        <f>ROUND(((P18-G18)*-0.35)+T18,0)</f>
        <v>0</v>
      </c>
      <c r="W18" s="82">
        <f>-5978*0</f>
        <v>0</v>
      </c>
      <c r="X18" s="82">
        <f>W18*F18</f>
        <v>0</v>
      </c>
    </row>
    <row r="19" spans="1:24" ht="6" customHeight="1">
      <c r="A19" s="47"/>
      <c r="B19" s="47"/>
      <c r="C19" s="77"/>
      <c r="D19" s="76"/>
      <c r="E19" s="77"/>
      <c r="G19" s="78"/>
      <c r="H19" s="72"/>
      <c r="I19" s="77"/>
      <c r="J19" s="77"/>
      <c r="K19" s="78"/>
      <c r="L19" s="78"/>
      <c r="M19" s="72"/>
      <c r="N19" s="78"/>
      <c r="O19" s="78"/>
      <c r="P19" s="78"/>
      <c r="Q19" s="76"/>
      <c r="R19" s="76"/>
      <c r="S19" s="77"/>
      <c r="T19" s="78"/>
      <c r="U19" s="78"/>
      <c r="W19" s="78"/>
      <c r="X19" s="78"/>
    </row>
    <row r="20" spans="1:24">
      <c r="A20" s="47" t="s">
        <v>11</v>
      </c>
      <c r="B20" s="47"/>
      <c r="C20" s="77"/>
      <c r="D20" s="76"/>
      <c r="E20" s="77"/>
      <c r="G20" s="78"/>
      <c r="H20" s="72"/>
      <c r="I20" s="77"/>
      <c r="J20" s="77"/>
      <c r="K20" s="78"/>
      <c r="L20" s="78"/>
      <c r="M20" s="72"/>
      <c r="N20" s="78"/>
      <c r="O20" s="78"/>
      <c r="P20" s="78"/>
      <c r="Q20" s="76"/>
      <c r="R20" s="76"/>
      <c r="S20" s="77"/>
      <c r="T20" s="78"/>
      <c r="U20" s="78"/>
      <c r="W20" s="78"/>
      <c r="X20" s="78"/>
    </row>
    <row r="21" spans="1:24">
      <c r="A21" s="47" t="s">
        <v>21</v>
      </c>
      <c r="B21" s="47"/>
      <c r="C21" s="71">
        <f>[2]CAP15!C21</f>
        <v>0</v>
      </c>
      <c r="D21" s="71"/>
      <c r="E21" s="71">
        <f>[2]CAP15!E21</f>
        <v>0</v>
      </c>
      <c r="F21" s="60">
        <v>2.92E-2</v>
      </c>
      <c r="G21" s="72">
        <f>ROUND(C21*F21,0)</f>
        <v>0</v>
      </c>
      <c r="H21" s="72"/>
      <c r="I21" s="73">
        <v>0</v>
      </c>
      <c r="J21" s="73">
        <f>F21*E21</f>
        <v>0</v>
      </c>
      <c r="K21" s="61">
        <f>J21+G21</f>
        <v>0</v>
      </c>
      <c r="L21" s="61">
        <f>K21+G21</f>
        <v>0</v>
      </c>
      <c r="M21" s="61"/>
      <c r="N21" s="61">
        <f>ROUND(C21*$N$5,0)</f>
        <v>0</v>
      </c>
      <c r="O21" s="61">
        <f>ROUND(C21*$O$5,0)</f>
        <v>0</v>
      </c>
      <c r="P21" s="61">
        <f>ROUND(C21*$P$5,0)</f>
        <v>0</v>
      </c>
      <c r="Q21" s="73"/>
      <c r="R21" s="73"/>
      <c r="S21" s="73">
        <f>ROUND(((N21-J21)*-0.35)+R21,0)</f>
        <v>0</v>
      </c>
      <c r="T21" s="61">
        <f>ROUND(((O21-G21)*-0.35)+S21,0)</f>
        <v>0</v>
      </c>
      <c r="U21" s="61">
        <f>ROUND(((P21-G21)*-0.35)+T21,0)</f>
        <v>0</v>
      </c>
      <c r="W21" s="61">
        <f>-4290*0</f>
        <v>0</v>
      </c>
      <c r="X21" s="61">
        <f>W21*F21</f>
        <v>0</v>
      </c>
    </row>
    <row r="22" spans="1:24">
      <c r="A22" s="47" t="s">
        <v>22</v>
      </c>
      <c r="B22" s="47"/>
      <c r="C22" s="71">
        <f>[2]CAP15!C22</f>
        <v>5357.6769999999997</v>
      </c>
      <c r="D22" s="71"/>
      <c r="E22" s="71">
        <f>[2]CAP15!E22</f>
        <v>3906.5619583333328</v>
      </c>
      <c r="F22" s="60">
        <v>2.92E-2</v>
      </c>
      <c r="G22" s="72">
        <f>ROUND(C22*F22,0)</f>
        <v>156</v>
      </c>
      <c r="H22" s="72"/>
      <c r="I22" s="73">
        <v>0</v>
      </c>
      <c r="J22" s="73">
        <f>F22*E22</f>
        <v>114.07160918333332</v>
      </c>
      <c r="K22" s="61">
        <f>J22+G22</f>
        <v>270.07160918333329</v>
      </c>
      <c r="L22" s="61">
        <f>K22+G22</f>
        <v>426.07160918333329</v>
      </c>
      <c r="M22" s="61"/>
      <c r="N22" s="61">
        <f>ROUND(C22*$N$5,0)</f>
        <v>201</v>
      </c>
      <c r="O22" s="61">
        <f>ROUND(C22*$O$5,0)</f>
        <v>387</v>
      </c>
      <c r="P22" s="61">
        <f>ROUND(C22*$P$5,0)</f>
        <v>358</v>
      </c>
      <c r="Q22" s="73"/>
      <c r="R22" s="73"/>
      <c r="S22" s="73">
        <f>ROUND(((N22-J22)*-0.35)+R22,0)</f>
        <v>-30</v>
      </c>
      <c r="T22" s="61">
        <f>ROUND(((O22-G22)*-0.35)+S22,0)</f>
        <v>-111</v>
      </c>
      <c r="U22" s="61">
        <f>ROUND(((P22-G22)*-0.35)+T22,0)</f>
        <v>-182</v>
      </c>
      <c r="W22" s="61"/>
      <c r="X22" s="61"/>
    </row>
    <row r="23" spans="1:24">
      <c r="A23" s="47" t="s">
        <v>19</v>
      </c>
      <c r="B23" s="47"/>
      <c r="C23" s="74">
        <f>SUM(C21:C22)</f>
        <v>5357.6769999999997</v>
      </c>
      <c r="D23" s="76"/>
      <c r="E23" s="74">
        <f t="shared" ref="E23:U23" si="2">SUM(E21:E22)</f>
        <v>3906.5619583333328</v>
      </c>
      <c r="F23" s="51"/>
      <c r="G23" s="75">
        <f t="shared" si="2"/>
        <v>156</v>
      </c>
      <c r="H23" s="72"/>
      <c r="I23" s="74">
        <f t="shared" si="2"/>
        <v>0</v>
      </c>
      <c r="J23" s="74">
        <f t="shared" si="2"/>
        <v>114.07160918333332</v>
      </c>
      <c r="K23" s="75">
        <f>SUM(K21:K22)</f>
        <v>270.07160918333329</v>
      </c>
      <c r="L23" s="75">
        <f>SUM(L21:L22)</f>
        <v>426.07160918333329</v>
      </c>
      <c r="M23" s="72"/>
      <c r="N23" s="75">
        <f t="shared" si="2"/>
        <v>201</v>
      </c>
      <c r="O23" s="75">
        <f t="shared" si="2"/>
        <v>387</v>
      </c>
      <c r="P23" s="75">
        <f t="shared" si="2"/>
        <v>358</v>
      </c>
      <c r="Q23" s="76"/>
      <c r="R23" s="74">
        <f t="shared" si="2"/>
        <v>0</v>
      </c>
      <c r="S23" s="74">
        <f t="shared" si="2"/>
        <v>-30</v>
      </c>
      <c r="T23" s="75">
        <f t="shared" si="2"/>
        <v>-111</v>
      </c>
      <c r="U23" s="75">
        <f t="shared" si="2"/>
        <v>-182</v>
      </c>
      <c r="W23" s="75">
        <f>SUM(W21:W22)</f>
        <v>0</v>
      </c>
      <c r="X23" s="75">
        <f>SUM(X21:X22)</f>
        <v>0</v>
      </c>
    </row>
    <row r="24" spans="1:24" ht="6" customHeight="1">
      <c r="A24" s="47"/>
      <c r="B24" s="47"/>
      <c r="C24" s="77"/>
      <c r="D24" s="76"/>
      <c r="E24" s="77"/>
      <c r="G24" s="78"/>
      <c r="H24" s="72"/>
      <c r="I24" s="77"/>
      <c r="J24" s="77"/>
      <c r="K24" s="78"/>
      <c r="L24" s="78"/>
      <c r="M24" s="72"/>
      <c r="N24" s="78"/>
      <c r="O24" s="78"/>
      <c r="P24" s="78"/>
      <c r="Q24" s="76"/>
      <c r="R24" s="77"/>
      <c r="S24" s="77"/>
      <c r="T24" s="78"/>
      <c r="U24" s="78"/>
      <c r="W24" s="78"/>
      <c r="X24" s="78"/>
    </row>
    <row r="25" spans="1:24">
      <c r="A25" s="47" t="s">
        <v>12</v>
      </c>
      <c r="B25" s="47"/>
      <c r="C25" s="71">
        <f>[2]CAP15!C25</f>
        <v>1.4600397313196944</v>
      </c>
      <c r="D25" s="71"/>
      <c r="E25" s="71">
        <f>[2]CAP15!E25</f>
        <v>1.3992047425147072</v>
      </c>
      <c r="F25" s="60">
        <v>3.8100000000000002E-2</v>
      </c>
      <c r="G25" s="72">
        <f>ROUND(C25*F25,0)</f>
        <v>0</v>
      </c>
      <c r="H25" s="72"/>
      <c r="I25" s="73">
        <v>0</v>
      </c>
      <c r="J25" s="73">
        <f>F25*E25</f>
        <v>5.3309700689810342E-2</v>
      </c>
      <c r="K25" s="61">
        <f>J25+G25</f>
        <v>5.3309700689810342E-2</v>
      </c>
      <c r="L25" s="61">
        <f>K25+G25</f>
        <v>5.3309700689810342E-2</v>
      </c>
      <c r="M25" s="61"/>
      <c r="N25" s="61">
        <f>ROUND(C25*$N$6,0)</f>
        <v>0</v>
      </c>
      <c r="O25" s="61">
        <f>ROUND(C25*$O$6,0)</f>
        <v>0</v>
      </c>
      <c r="P25" s="61">
        <f>ROUND(C25*$P$6,0)</f>
        <v>0</v>
      </c>
      <c r="Q25" s="73"/>
      <c r="R25" s="73"/>
      <c r="S25" s="73">
        <f>ROUND(((N25-J25)*-0.35)+R25,0)</f>
        <v>0</v>
      </c>
      <c r="T25" s="61">
        <f>ROUND(((O25-G25)*-0.35)+S25,0)</f>
        <v>0</v>
      </c>
      <c r="U25" s="61">
        <f>ROUND(((P25-G25)*-0.35)+T25,0)</f>
        <v>0</v>
      </c>
      <c r="W25" s="61">
        <f>-4368*0</f>
        <v>0</v>
      </c>
      <c r="X25" s="61">
        <f>W25*F25</f>
        <v>0</v>
      </c>
    </row>
    <row r="26" spans="1:24">
      <c r="A26" s="47" t="s">
        <v>23</v>
      </c>
      <c r="B26" s="47"/>
      <c r="C26" s="71">
        <f>[2]CAP15!C26</f>
        <v>0</v>
      </c>
      <c r="D26" s="71"/>
      <c r="E26" s="71">
        <f>[2]CAP15!E26</f>
        <v>0</v>
      </c>
      <c r="F26" s="60">
        <v>8.9200000000000002E-2</v>
      </c>
      <c r="G26" s="72">
        <f>ROUND(C26*F26,0)</f>
        <v>0</v>
      </c>
      <c r="H26" s="72"/>
      <c r="I26" s="73">
        <v>0</v>
      </c>
      <c r="J26" s="73">
        <f>F26*E26</f>
        <v>0</v>
      </c>
      <c r="K26" s="61">
        <f>J26+G26</f>
        <v>0</v>
      </c>
      <c r="L26" s="61">
        <f>K26+G26</f>
        <v>0</v>
      </c>
      <c r="M26" s="61"/>
      <c r="N26" s="61">
        <f>ROUND(C26*$N$7,0)</f>
        <v>0</v>
      </c>
      <c r="O26" s="61">
        <f>ROUND(C26*$O$7,0)</f>
        <v>0</v>
      </c>
      <c r="P26" s="61">
        <f>ROUND(C26*$P$7,0)</f>
        <v>0</v>
      </c>
      <c r="Q26" s="73"/>
      <c r="R26" s="73"/>
      <c r="S26" s="73">
        <f>ROUND(((N26-J26)*-0.35)+R26,0)</f>
        <v>0</v>
      </c>
      <c r="T26" s="61">
        <f>ROUND(((O26-G26)*-0.35)+S26,0)</f>
        <v>0</v>
      </c>
      <c r="U26" s="61">
        <f>ROUND(((P26-G26)*-0.35)+T26,0)</f>
        <v>0</v>
      </c>
      <c r="W26" s="61"/>
      <c r="X26" s="61"/>
    </row>
    <row r="27" spans="1:24">
      <c r="A27" s="47" t="s">
        <v>19</v>
      </c>
      <c r="B27" s="47"/>
      <c r="C27" s="74">
        <f>SUM(C25:C26)</f>
        <v>1.4600397313196944</v>
      </c>
      <c r="D27" s="76"/>
      <c r="E27" s="74">
        <f t="shared" ref="E27:U27" si="3">SUM(E25:E26)</f>
        <v>1.3992047425147072</v>
      </c>
      <c r="F27" s="51"/>
      <c r="G27" s="75">
        <f t="shared" si="3"/>
        <v>0</v>
      </c>
      <c r="H27" s="72"/>
      <c r="I27" s="74">
        <f t="shared" si="3"/>
        <v>0</v>
      </c>
      <c r="J27" s="74">
        <f t="shared" si="3"/>
        <v>5.3309700689810342E-2</v>
      </c>
      <c r="K27" s="74">
        <f t="shared" si="3"/>
        <v>5.3309700689810342E-2</v>
      </c>
      <c r="L27" s="74">
        <f t="shared" si="3"/>
        <v>5.3309700689810342E-2</v>
      </c>
      <c r="M27" s="72"/>
      <c r="N27" s="75">
        <f t="shared" si="3"/>
        <v>0</v>
      </c>
      <c r="O27" s="75">
        <f t="shared" si="3"/>
        <v>0</v>
      </c>
      <c r="P27" s="75">
        <f t="shared" si="3"/>
        <v>0</v>
      </c>
      <c r="Q27" s="76"/>
      <c r="R27" s="74">
        <f t="shared" si="3"/>
        <v>0</v>
      </c>
      <c r="S27" s="74">
        <f t="shared" si="3"/>
        <v>0</v>
      </c>
      <c r="T27" s="75">
        <f t="shared" si="3"/>
        <v>0</v>
      </c>
      <c r="U27" s="75">
        <f t="shared" si="3"/>
        <v>0</v>
      </c>
      <c r="W27" s="74">
        <f t="shared" ref="W27:X27" si="4">SUM(W25:W26)</f>
        <v>0</v>
      </c>
      <c r="X27" s="74">
        <f t="shared" si="4"/>
        <v>0</v>
      </c>
    </row>
    <row r="28" spans="1:24">
      <c r="A28" s="47"/>
      <c r="B28" s="47"/>
      <c r="C28" s="77"/>
      <c r="D28" s="76"/>
      <c r="E28" s="77"/>
      <c r="G28" s="78"/>
      <c r="H28" s="72"/>
      <c r="I28" s="77"/>
      <c r="J28" s="77"/>
      <c r="K28" s="78"/>
      <c r="L28" s="78"/>
      <c r="M28" s="72"/>
      <c r="N28" s="78"/>
      <c r="O28" s="78"/>
      <c r="P28" s="78"/>
      <c r="Q28" s="76"/>
      <c r="R28" s="83"/>
      <c r="S28" s="83"/>
      <c r="T28" s="78"/>
      <c r="U28" s="78"/>
      <c r="W28" s="78"/>
      <c r="X28" s="78"/>
    </row>
    <row r="29" spans="1:24">
      <c r="A29" s="47" t="s">
        <v>123</v>
      </c>
      <c r="B29" s="47"/>
      <c r="C29" s="77">
        <f>[2]CAP15!C29</f>
        <v>4734.0391626240234</v>
      </c>
      <c r="D29" s="76"/>
      <c r="E29" s="77">
        <f>[2]CAP15!E29</f>
        <v>4036.5326284549974</v>
      </c>
      <c r="F29" s="48">
        <v>0.23699999999999999</v>
      </c>
      <c r="G29" s="72">
        <f t="shared" ref="G29" si="5">ROUND(C29*F29,0)</f>
        <v>1122</v>
      </c>
      <c r="H29" s="72"/>
      <c r="I29" s="73">
        <v>0</v>
      </c>
      <c r="J29" s="73">
        <f t="shared" ref="J29:J30" si="6">F29*E29</f>
        <v>956.65823294383438</v>
      </c>
      <c r="K29" s="61">
        <f t="shared" ref="K29:K30" si="7">J29+G29</f>
        <v>2078.6582329438343</v>
      </c>
      <c r="L29" s="61">
        <f t="shared" ref="L29:L30" si="8">K29+G29</f>
        <v>3200.6582329438343</v>
      </c>
      <c r="M29" s="72"/>
      <c r="N29" s="61">
        <f>ROUND(C29*$N$7,0)</f>
        <v>947</v>
      </c>
      <c r="O29" s="61">
        <f t="shared" ref="O29:O30" si="9">ROUND(C29*$O$7,0)</f>
        <v>1515</v>
      </c>
      <c r="P29" s="61">
        <f t="shared" ref="P29:P30" si="10">ROUND(C29*$P$7,0)</f>
        <v>909</v>
      </c>
      <c r="Q29" s="76"/>
      <c r="R29" s="73"/>
      <c r="S29" s="73">
        <f t="shared" ref="S29:S30" si="11">ROUND(((N29-J29)*-0.35)+R29,0)</f>
        <v>3</v>
      </c>
      <c r="T29" s="61">
        <f t="shared" ref="T29:T30" si="12">ROUND(((O29-G29)*-0.35)+S29,0)</f>
        <v>-135</v>
      </c>
      <c r="U29" s="61">
        <f t="shared" ref="U29:U30" si="13">ROUND(((P29-G29)*-0.35)+T29,0)</f>
        <v>-60</v>
      </c>
      <c r="W29" s="61"/>
      <c r="X29" s="61"/>
    </row>
    <row r="30" spans="1:24">
      <c r="A30" s="47" t="s">
        <v>124</v>
      </c>
      <c r="B30" s="47"/>
      <c r="C30" s="77">
        <f>[2]CAP15!C30</f>
        <v>1617.522050139389</v>
      </c>
      <c r="D30" s="76"/>
      <c r="E30" s="77">
        <f>[2]CAP15!E30</f>
        <v>1171.0656875648929</v>
      </c>
      <c r="F30" s="60">
        <v>0.23699999999999999</v>
      </c>
      <c r="G30" s="72">
        <f>ROUND(C30*F30,0)</f>
        <v>383</v>
      </c>
      <c r="H30" s="72"/>
      <c r="I30" s="73">
        <v>0</v>
      </c>
      <c r="J30" s="73">
        <f t="shared" si="6"/>
        <v>277.54256795287961</v>
      </c>
      <c r="K30" s="61">
        <f t="shared" si="7"/>
        <v>660.54256795287961</v>
      </c>
      <c r="L30" s="61">
        <f t="shared" si="8"/>
        <v>1043.5425679528796</v>
      </c>
      <c r="M30" s="72"/>
      <c r="N30" s="61">
        <f>ROUND(C30*$N$7,0)</f>
        <v>324</v>
      </c>
      <c r="O30" s="61">
        <f t="shared" si="9"/>
        <v>518</v>
      </c>
      <c r="P30" s="61">
        <f t="shared" si="10"/>
        <v>311</v>
      </c>
      <c r="Q30" s="76"/>
      <c r="R30" s="73"/>
      <c r="S30" s="73">
        <f t="shared" si="11"/>
        <v>-16</v>
      </c>
      <c r="T30" s="61">
        <f t="shared" si="12"/>
        <v>-63</v>
      </c>
      <c r="U30" s="61">
        <f t="shared" si="13"/>
        <v>-38</v>
      </c>
      <c r="W30" s="61">
        <f>-5019*0.61*0</f>
        <v>0</v>
      </c>
      <c r="X30" s="61">
        <f t="shared" ref="X30:X32" si="14">W30*F30</f>
        <v>0</v>
      </c>
    </row>
    <row r="31" spans="1:24">
      <c r="A31" s="47" t="s">
        <v>125</v>
      </c>
      <c r="B31" s="47"/>
      <c r="C31" s="77">
        <f>[2]CAP15!C31</f>
        <v>42606.352463616211</v>
      </c>
      <c r="D31" s="76"/>
      <c r="E31" s="77">
        <f>[2]CAP15!E31</f>
        <v>36328.793656094975</v>
      </c>
      <c r="F31" s="60">
        <v>6.6600000000000006E-2</v>
      </c>
      <c r="G31" s="72">
        <f>ROUND(C31*F31,0)</f>
        <v>2838</v>
      </c>
      <c r="H31" s="72"/>
      <c r="I31" s="73">
        <v>0</v>
      </c>
      <c r="J31" s="73">
        <f>F31*E31</f>
        <v>2419.4976574959255</v>
      </c>
      <c r="K31" s="61">
        <f>J31+G31</f>
        <v>5257.4976574959255</v>
      </c>
      <c r="L31" s="61">
        <f>K31+G31</f>
        <v>8095.4976574959255</v>
      </c>
      <c r="M31" s="61"/>
      <c r="N31" s="61">
        <f>ROUND(C31*$N$8,0)</f>
        <v>14201</v>
      </c>
      <c r="O31" s="61">
        <f>ROUND(C31*$O$8,0)</f>
        <v>18939</v>
      </c>
      <c r="P31" s="61">
        <f>ROUND(C31*$P$8,0)</f>
        <v>6310</v>
      </c>
      <c r="Q31" s="73"/>
      <c r="R31" s="73"/>
      <c r="S31" s="73">
        <f>ROUND(((N31-J31)*-0.35)+R31,0)</f>
        <v>-4124</v>
      </c>
      <c r="T31" s="61">
        <f>ROUND(((O31-G31)*-0.35)+S31,0)</f>
        <v>-9759</v>
      </c>
      <c r="U31" s="61">
        <f>ROUND(((P31-G31)*-0.35)+T31,0)</f>
        <v>-10974</v>
      </c>
      <c r="W31" s="61">
        <v>0</v>
      </c>
      <c r="X31" s="61">
        <f t="shared" si="14"/>
        <v>0</v>
      </c>
    </row>
    <row r="32" spans="1:24">
      <c r="A32" s="49" t="s">
        <v>126</v>
      </c>
      <c r="B32" s="47"/>
      <c r="C32" s="79">
        <f>[2]CAP15!C32</f>
        <v>1034.1534418923964</v>
      </c>
      <c r="D32" s="71"/>
      <c r="E32" s="79">
        <f>[2]CAP15!E32</f>
        <v>748.71412811525943</v>
      </c>
      <c r="F32" s="60">
        <v>0.2</v>
      </c>
      <c r="G32" s="80">
        <f>ROUND(C32*F32,0)</f>
        <v>207</v>
      </c>
      <c r="H32" s="72"/>
      <c r="I32" s="81">
        <v>0</v>
      </c>
      <c r="J32" s="81">
        <f>F32*E32</f>
        <v>149.74282562305189</v>
      </c>
      <c r="K32" s="82">
        <f>J32+G32</f>
        <v>356.74282562305189</v>
      </c>
      <c r="L32" s="82">
        <f>K32+G32</f>
        <v>563.74282562305189</v>
      </c>
      <c r="M32" s="61"/>
      <c r="N32" s="82">
        <f>ROUND(C32*$N$8,0)</f>
        <v>345</v>
      </c>
      <c r="O32" s="82">
        <f>ROUND(C32*$O$8,0)</f>
        <v>460</v>
      </c>
      <c r="P32" s="82">
        <f>ROUND(C32*$P$8,0)</f>
        <v>153</v>
      </c>
      <c r="Q32" s="73"/>
      <c r="R32" s="81"/>
      <c r="S32" s="81">
        <f>ROUND(((N32-J32)*-0.35)+R32,0)</f>
        <v>-68</v>
      </c>
      <c r="T32" s="82">
        <f>ROUND(((O32-G32)*-0.35)+S32,0)</f>
        <v>-157</v>
      </c>
      <c r="U32" s="82">
        <f>ROUND(((P32-G32)*-0.35)+T32,0)</f>
        <v>-138</v>
      </c>
      <c r="W32" s="82">
        <f>-5019*0.39*0</f>
        <v>0</v>
      </c>
      <c r="X32" s="82">
        <f t="shared" si="14"/>
        <v>0</v>
      </c>
    </row>
    <row r="33" spans="1:27">
      <c r="A33" s="49" t="s">
        <v>127</v>
      </c>
      <c r="B33" s="47"/>
      <c r="C33" s="97">
        <f>SUM(C29:C32)</f>
        <v>49992.067118272025</v>
      </c>
      <c r="D33" s="71"/>
      <c r="E33" s="97">
        <f>SUM(E29:E32)</f>
        <v>42285.106100230121</v>
      </c>
      <c r="F33" s="60"/>
      <c r="G33" s="97">
        <f>SUM(G29:G32)</f>
        <v>4550</v>
      </c>
      <c r="H33" s="72"/>
      <c r="I33" s="97">
        <f t="shared" ref="I33:K33" si="15">SUM(I29:I32)</f>
        <v>0</v>
      </c>
      <c r="J33" s="97">
        <f t="shared" si="15"/>
        <v>3803.4412840156915</v>
      </c>
      <c r="K33" s="97">
        <f t="shared" si="15"/>
        <v>8353.4412840156911</v>
      </c>
      <c r="L33" s="97">
        <f>-B10/2</f>
        <v>0</v>
      </c>
      <c r="M33" s="61"/>
      <c r="N33" s="97">
        <f t="shared" ref="N33:P33" si="16">SUM(N29:N32)</f>
        <v>15817</v>
      </c>
      <c r="O33" s="97">
        <f t="shared" si="16"/>
        <v>21432</v>
      </c>
      <c r="P33" s="97">
        <f t="shared" si="16"/>
        <v>7683</v>
      </c>
      <c r="Q33" s="73"/>
      <c r="R33" s="97">
        <f t="shared" ref="R33:X33" si="17">SUM(R29:R32)</f>
        <v>0</v>
      </c>
      <c r="S33" s="97">
        <f t="shared" si="17"/>
        <v>-4205</v>
      </c>
      <c r="T33" s="97">
        <f t="shared" si="17"/>
        <v>-10114</v>
      </c>
      <c r="U33" s="97">
        <f t="shared" si="17"/>
        <v>-11210</v>
      </c>
      <c r="W33" s="97">
        <f t="shared" si="17"/>
        <v>0</v>
      </c>
      <c r="X33" s="97">
        <f t="shared" si="17"/>
        <v>0</v>
      </c>
    </row>
    <row r="34" spans="1:27">
      <c r="A34" s="47"/>
      <c r="B34" s="47"/>
      <c r="C34" s="77"/>
      <c r="D34" s="76"/>
      <c r="E34" s="77"/>
      <c r="G34" s="78"/>
      <c r="H34" s="72"/>
      <c r="I34" s="77"/>
      <c r="J34" s="77"/>
      <c r="K34" s="78"/>
      <c r="L34" s="78"/>
      <c r="M34" s="72"/>
      <c r="N34" s="78"/>
      <c r="O34" s="78"/>
      <c r="P34" s="78"/>
      <c r="Q34" s="76"/>
      <c r="R34" s="77"/>
      <c r="S34" s="77"/>
      <c r="T34" s="78"/>
      <c r="U34" s="78"/>
      <c r="W34" s="78"/>
      <c r="X34" s="78"/>
      <c r="Z34" s="77"/>
      <c r="AA34" s="78"/>
    </row>
    <row r="35" spans="1:27" s="88" customFormat="1" ht="13.5" thickBot="1">
      <c r="A35" s="84" t="s">
        <v>25</v>
      </c>
      <c r="B35" s="84"/>
      <c r="C35" s="85">
        <f>SUM(C16,C18,C23,C27,C33)</f>
        <v>67236.152158003344</v>
      </c>
      <c r="D35" s="87"/>
      <c r="E35" s="85">
        <f>SUM(E16,E18,E23,E27,E33)</f>
        <v>53960.332013305968</v>
      </c>
      <c r="F35" s="52"/>
      <c r="G35" s="85">
        <f>SUM(G16,G18,G23,G27,G33)</f>
        <v>4928</v>
      </c>
      <c r="H35" s="86"/>
      <c r="I35" s="85">
        <f t="shared" ref="I35:L35" si="18">SUM(I16,I18,I23,I27,I33)</f>
        <v>0</v>
      </c>
      <c r="J35" s="85">
        <f t="shared" si="18"/>
        <v>4062.8140537247145</v>
      </c>
      <c r="K35" s="85">
        <f t="shared" si="18"/>
        <v>8990.8140537247145</v>
      </c>
      <c r="L35" s="85">
        <f t="shared" si="18"/>
        <v>1015.3727697090233</v>
      </c>
      <c r="M35" s="86"/>
      <c r="N35" s="85">
        <f t="shared" ref="N35:P35" si="19">SUM(N16,N18,N23,N27,N33)</f>
        <v>16464</v>
      </c>
      <c r="O35" s="85">
        <f t="shared" si="19"/>
        <v>22677</v>
      </c>
      <c r="P35" s="85">
        <f t="shared" si="19"/>
        <v>8835</v>
      </c>
      <c r="Q35" s="87"/>
      <c r="R35" s="85">
        <f t="shared" ref="R35:X35" si="20">SUM(R16,R18,R23,R27,R33)</f>
        <v>0</v>
      </c>
      <c r="S35" s="85">
        <f t="shared" si="20"/>
        <v>-4340</v>
      </c>
      <c r="T35" s="85">
        <f t="shared" si="20"/>
        <v>-10553</v>
      </c>
      <c r="U35" s="85">
        <f t="shared" si="20"/>
        <v>-11920</v>
      </c>
      <c r="W35" s="85">
        <f t="shared" si="20"/>
        <v>0</v>
      </c>
      <c r="X35" s="85">
        <f t="shared" si="20"/>
        <v>0</v>
      </c>
    </row>
    <row r="36" spans="1:27" s="88" customFormat="1">
      <c r="A36" s="84"/>
      <c r="B36" s="84"/>
      <c r="C36" s="149" t="s">
        <v>117</v>
      </c>
      <c r="D36" s="149"/>
      <c r="E36" s="149" t="s">
        <v>117</v>
      </c>
      <c r="F36" s="90"/>
      <c r="G36" s="278" t="s">
        <v>117</v>
      </c>
      <c r="H36" s="278"/>
      <c r="I36" s="89"/>
      <c r="J36" s="278" t="s">
        <v>117</v>
      </c>
      <c r="K36" s="278"/>
      <c r="L36" s="91"/>
      <c r="M36" s="86"/>
      <c r="N36" s="89"/>
      <c r="O36" s="89"/>
      <c r="P36" s="89"/>
      <c r="Q36" s="87"/>
      <c r="R36" s="89"/>
      <c r="S36" s="278" t="s">
        <v>117</v>
      </c>
      <c r="T36" s="278"/>
      <c r="U36" s="89"/>
      <c r="W36" s="278" t="s">
        <v>117</v>
      </c>
      <c r="X36" s="278"/>
    </row>
    <row r="37" spans="1:27">
      <c r="C37" s="77"/>
      <c r="D37" s="76"/>
      <c r="E37" s="77"/>
      <c r="G37" s="78"/>
      <c r="H37" s="72"/>
      <c r="I37" s="77"/>
      <c r="J37" s="77"/>
      <c r="K37" s="78"/>
      <c r="L37" s="78">
        <f>(-B14-B17)/2</f>
        <v>0</v>
      </c>
      <c r="M37" s="72"/>
      <c r="N37" s="78"/>
      <c r="O37" s="78"/>
      <c r="P37" s="78"/>
      <c r="Q37" s="76"/>
      <c r="R37" s="77"/>
      <c r="S37" s="77"/>
      <c r="T37" s="78"/>
      <c r="U37" s="78"/>
    </row>
    <row r="38" spans="1:27">
      <c r="A38" s="49" t="s">
        <v>26</v>
      </c>
      <c r="C38" s="79">
        <f>[2]CAP15!C39</f>
        <v>0</v>
      </c>
      <c r="D38" s="71"/>
      <c r="E38" s="79">
        <f>[2]CAP15!E39</f>
        <v>0</v>
      </c>
      <c r="F38" s="60">
        <v>1.5900000000000001E-2</v>
      </c>
      <c r="G38" s="80">
        <f>ROUND(C38*F38,0)</f>
        <v>0</v>
      </c>
      <c r="H38" s="72"/>
      <c r="I38" s="81">
        <v>0</v>
      </c>
      <c r="J38" s="81">
        <f>F38*E38</f>
        <v>0</v>
      </c>
      <c r="K38" s="82">
        <f>J38+G38</f>
        <v>0</v>
      </c>
      <c r="L38" s="82">
        <f>K38+G38</f>
        <v>0</v>
      </c>
      <c r="M38" s="61"/>
      <c r="N38" s="82">
        <f>ROUND(C38*$N$5,0)</f>
        <v>0</v>
      </c>
      <c r="O38" s="82">
        <f>ROUND(C38*$O$5,0)</f>
        <v>0</v>
      </c>
      <c r="P38" s="82">
        <f>ROUND(C38*$P$5,0)</f>
        <v>0</v>
      </c>
      <c r="Q38" s="73"/>
      <c r="R38" s="81"/>
      <c r="S38" s="81">
        <f>ROUND(((N38-J38)*-0.35)+R38,0)</f>
        <v>0</v>
      </c>
      <c r="T38" s="82">
        <f>ROUND(((O38-G38)*-0.35)+S38,0)</f>
        <v>0</v>
      </c>
      <c r="U38" s="82">
        <f>ROUND(((P38-G38)*-0.35)+T38,0)</f>
        <v>0</v>
      </c>
      <c r="W38" s="82">
        <v>0</v>
      </c>
      <c r="X38" s="152">
        <f>W38*F38</f>
        <v>0</v>
      </c>
    </row>
    <row r="39" spans="1:27" ht="6" customHeight="1">
      <c r="C39" s="77"/>
      <c r="D39" s="76"/>
      <c r="E39" s="77"/>
      <c r="G39" s="78"/>
      <c r="H39" s="72"/>
      <c r="I39" s="77"/>
      <c r="J39" s="77"/>
      <c r="K39" s="78"/>
      <c r="L39" s="78"/>
      <c r="M39" s="72"/>
      <c r="N39" s="78"/>
      <c r="O39" s="78"/>
      <c r="P39" s="78"/>
      <c r="Q39" s="76"/>
      <c r="R39" s="77"/>
      <c r="S39" s="77"/>
      <c r="T39" s="78"/>
      <c r="U39" s="78"/>
    </row>
    <row r="40" spans="1:27">
      <c r="A40" s="49" t="s">
        <v>11</v>
      </c>
      <c r="C40" s="77"/>
      <c r="D40" s="76"/>
      <c r="E40" s="77"/>
      <c r="G40" s="78"/>
      <c r="H40" s="72"/>
      <c r="I40" s="77"/>
      <c r="J40" s="77"/>
      <c r="K40" s="78"/>
      <c r="L40" s="78"/>
      <c r="M40" s="72"/>
      <c r="N40" s="78"/>
      <c r="O40" s="78"/>
      <c r="P40" s="78"/>
      <c r="Q40" s="76"/>
      <c r="R40" s="77"/>
      <c r="S40" s="77"/>
      <c r="T40" s="78"/>
      <c r="U40" s="78"/>
    </row>
    <row r="41" spans="1:27">
      <c r="A41" s="49" t="s">
        <v>21</v>
      </c>
      <c r="C41" s="71">
        <f>[2]CAP15!C42</f>
        <v>0</v>
      </c>
      <c r="D41" s="71"/>
      <c r="E41" s="71">
        <f>[2]CAP15!E42</f>
        <v>0</v>
      </c>
      <c r="F41" s="60">
        <v>2.52E-2</v>
      </c>
      <c r="G41" s="72">
        <f>ROUND(C41*F41,0)</f>
        <v>0</v>
      </c>
      <c r="H41" s="72"/>
      <c r="I41" s="73">
        <v>0</v>
      </c>
      <c r="J41" s="73">
        <f>F41*E41</f>
        <v>0</v>
      </c>
      <c r="K41" s="61">
        <f>J41+G41</f>
        <v>0</v>
      </c>
      <c r="L41" s="61">
        <f>K41+G41</f>
        <v>0</v>
      </c>
      <c r="M41" s="61"/>
      <c r="N41" s="61">
        <f>ROUND(C41*$N$5,0)</f>
        <v>0</v>
      </c>
      <c r="O41" s="61">
        <f>ROUND(C41*$O$5,0)</f>
        <v>0</v>
      </c>
      <c r="P41" s="61">
        <f>ROUND(C41*$P$5,0)</f>
        <v>0</v>
      </c>
      <c r="Q41" s="73"/>
      <c r="R41" s="73"/>
      <c r="S41" s="73">
        <f>ROUND((((N41-J41)/2)*-0.35)+R41,0)</f>
        <v>0</v>
      </c>
      <c r="T41" s="61">
        <f>ROUND(((O41-G41)*-0.35)+S41,0)</f>
        <v>0</v>
      </c>
      <c r="U41" s="61">
        <f>ROUND(((P41-G41)*-0.35)+T41,0)</f>
        <v>0</v>
      </c>
      <c r="W41" s="61">
        <f>-2839*0</f>
        <v>0</v>
      </c>
      <c r="X41" s="61">
        <f>W41*F41</f>
        <v>0</v>
      </c>
    </row>
    <row r="42" spans="1:27">
      <c r="A42" s="49" t="s">
        <v>27</v>
      </c>
      <c r="C42" s="71">
        <f>[2]CAP15!C43</f>
        <v>4498.857</v>
      </c>
      <c r="D42" s="71"/>
      <c r="E42" s="71">
        <f>[2]CAP15!E43</f>
        <v>3045.5037083333336</v>
      </c>
      <c r="F42" s="60">
        <v>2.52E-2</v>
      </c>
      <c r="G42" s="72">
        <f>ROUND(C42*F42,0)</f>
        <v>113</v>
      </c>
      <c r="H42" s="72"/>
      <c r="I42" s="73">
        <v>0</v>
      </c>
      <c r="J42" s="73">
        <f>F42*E42</f>
        <v>76.746693450000009</v>
      </c>
      <c r="K42" s="61">
        <f>J42+G42</f>
        <v>189.74669345000001</v>
      </c>
      <c r="L42" s="61">
        <f>K42+G42</f>
        <v>302.74669345000001</v>
      </c>
      <c r="M42" s="61"/>
      <c r="N42" s="61">
        <f>ROUND(C42*$N$5,0)</f>
        <v>169</v>
      </c>
      <c r="O42" s="61">
        <f>ROUND(C42*$O$5,0)</f>
        <v>325</v>
      </c>
      <c r="P42" s="61">
        <f>ROUND(C42*$P$5,0)</f>
        <v>300</v>
      </c>
      <c r="Q42" s="73"/>
      <c r="R42" s="73"/>
      <c r="S42" s="73">
        <f>ROUND(((N42-J42)*-0.35)+R42,0)</f>
        <v>-32</v>
      </c>
      <c r="T42" s="61">
        <f>ROUND(((O42-G42)*-0.35)+S42,0)</f>
        <v>-106</v>
      </c>
      <c r="U42" s="61">
        <f>ROUND(((P42-G42)*-0.35)+T42,0)</f>
        <v>-171</v>
      </c>
      <c r="W42" s="61"/>
      <c r="X42" s="61"/>
    </row>
    <row r="43" spans="1:27">
      <c r="A43" s="49" t="s">
        <v>22</v>
      </c>
      <c r="C43" s="71">
        <f>[2]CAP15!C44</f>
        <v>0</v>
      </c>
      <c r="D43" s="71"/>
      <c r="E43" s="71">
        <f>[2]CAP15!E44</f>
        <v>0</v>
      </c>
      <c r="F43" s="60">
        <v>2.52E-2</v>
      </c>
      <c r="G43" s="72">
        <f>ROUND(C43*F43,0)</f>
        <v>0</v>
      </c>
      <c r="H43" s="72"/>
      <c r="I43" s="73">
        <v>0</v>
      </c>
      <c r="J43" s="73">
        <f>F43*E43</f>
        <v>0</v>
      </c>
      <c r="K43" s="61">
        <f>J43+G43</f>
        <v>0</v>
      </c>
      <c r="L43" s="61">
        <f>K43+G43</f>
        <v>0</v>
      </c>
      <c r="M43" s="61"/>
      <c r="N43" s="61">
        <f>ROUND(C43*$N$5,0)</f>
        <v>0</v>
      </c>
      <c r="O43" s="61">
        <f>ROUND(C43*$O$5,0)</f>
        <v>0</v>
      </c>
      <c r="P43" s="61">
        <f>ROUND(C43*$P$5,0)</f>
        <v>0</v>
      </c>
      <c r="Q43" s="73"/>
      <c r="R43" s="73"/>
      <c r="S43" s="73">
        <f>ROUND(((N43-J43)*-0.35)+R43,0)</f>
        <v>0</v>
      </c>
      <c r="T43" s="61">
        <f>ROUND(((O43-G43)*-0.35)+S43,0)</f>
        <v>0</v>
      </c>
      <c r="U43" s="61">
        <f>ROUND(((P43-G43)*-0.35)+T43,0)</f>
        <v>0</v>
      </c>
      <c r="W43" s="61"/>
      <c r="X43" s="61"/>
    </row>
    <row r="44" spans="1:27">
      <c r="A44" s="49" t="s">
        <v>19</v>
      </c>
      <c r="C44" s="74">
        <f>SUM(C41:C43)</f>
        <v>4498.857</v>
      </c>
      <c r="D44" s="76"/>
      <c r="E44" s="74">
        <f>SUM(E41:E43)</f>
        <v>3045.5037083333336</v>
      </c>
      <c r="F44" s="51"/>
      <c r="G44" s="75">
        <f t="shared" ref="G44:X44" si="21">SUM(G41:G43)</f>
        <v>113</v>
      </c>
      <c r="H44" s="72"/>
      <c r="I44" s="74">
        <f t="shared" si="21"/>
        <v>0</v>
      </c>
      <c r="J44" s="74">
        <f t="shared" si="21"/>
        <v>76.746693450000009</v>
      </c>
      <c r="K44" s="75">
        <f t="shared" si="21"/>
        <v>189.74669345000001</v>
      </c>
      <c r="L44" s="75">
        <f t="shared" si="21"/>
        <v>302.74669345000001</v>
      </c>
      <c r="M44" s="72"/>
      <c r="N44" s="75">
        <f t="shared" si="21"/>
        <v>169</v>
      </c>
      <c r="O44" s="75">
        <f t="shared" si="21"/>
        <v>325</v>
      </c>
      <c r="P44" s="75">
        <f t="shared" si="21"/>
        <v>300</v>
      </c>
      <c r="Q44" s="76"/>
      <c r="R44" s="74">
        <f t="shared" si="21"/>
        <v>0</v>
      </c>
      <c r="S44" s="74">
        <f t="shared" si="21"/>
        <v>-32</v>
      </c>
      <c r="T44" s="75">
        <f t="shared" si="21"/>
        <v>-106</v>
      </c>
      <c r="U44" s="75">
        <f t="shared" si="21"/>
        <v>-171</v>
      </c>
      <c r="W44" s="75">
        <f t="shared" si="21"/>
        <v>0</v>
      </c>
      <c r="X44" s="75">
        <f t="shared" si="21"/>
        <v>0</v>
      </c>
    </row>
    <row r="45" spans="1:27" ht="7.5" customHeight="1">
      <c r="C45" s="77"/>
      <c r="D45" s="76"/>
      <c r="E45" s="77"/>
      <c r="G45" s="78"/>
      <c r="H45" s="72"/>
      <c r="I45" s="77"/>
      <c r="J45" s="77"/>
      <c r="K45" s="78"/>
      <c r="L45" s="78"/>
      <c r="M45" s="72"/>
      <c r="N45" s="78"/>
      <c r="O45" s="78"/>
      <c r="P45" s="78"/>
      <c r="Q45" s="76"/>
      <c r="R45" s="77"/>
      <c r="S45" s="77"/>
      <c r="T45" s="78"/>
      <c r="U45" s="78"/>
      <c r="X45" s="78"/>
    </row>
    <row r="46" spans="1:27">
      <c r="A46" s="49" t="s">
        <v>12</v>
      </c>
      <c r="C46" s="71">
        <f>[2]CAP15!C47</f>
        <v>0.4059602686803056</v>
      </c>
      <c r="D46" s="71"/>
      <c r="E46" s="71">
        <f>[2]CAP15!E47</f>
        <v>0.38904525748529284</v>
      </c>
      <c r="F46" s="60">
        <v>3.6200000000000003E-2</v>
      </c>
      <c r="G46" s="72">
        <f>ROUND(C46*F46,0)</f>
        <v>0</v>
      </c>
      <c r="H46" s="72"/>
      <c r="I46" s="73">
        <v>0</v>
      </c>
      <c r="J46" s="73">
        <f>F46*E46</f>
        <v>1.4083438320967602E-2</v>
      </c>
      <c r="K46" s="61">
        <f>J46+G46</f>
        <v>1.4083438320967602E-2</v>
      </c>
      <c r="L46" s="61">
        <f>K46+G46</f>
        <v>1.4083438320967602E-2</v>
      </c>
      <c r="M46" s="61"/>
      <c r="N46" s="61">
        <f>ROUND(C46*$N$6,0)</f>
        <v>0</v>
      </c>
      <c r="O46" s="61">
        <f>ROUND(C46*$O$6,0)</f>
        <v>0</v>
      </c>
      <c r="P46" s="61">
        <f>ROUND(C46*$P$6,0)</f>
        <v>0</v>
      </c>
      <c r="Q46" s="73"/>
      <c r="R46" s="73"/>
      <c r="S46" s="73">
        <f>ROUND(((N46-J46)*-0.35)+R46,0)</f>
        <v>0</v>
      </c>
      <c r="T46" s="61">
        <f>ROUND(((O46-G46)*-0.35)+S46,0)</f>
        <v>0</v>
      </c>
      <c r="U46" s="61">
        <f>ROUND(((P46-G46)*-0.35)+T46,0)</f>
        <v>0</v>
      </c>
      <c r="W46" s="61">
        <f>-1309*0</f>
        <v>0</v>
      </c>
      <c r="X46" s="61">
        <f>W46*F46</f>
        <v>0</v>
      </c>
    </row>
    <row r="47" spans="1:27">
      <c r="A47" s="49" t="s">
        <v>23</v>
      </c>
      <c r="C47" s="71">
        <f>[2]CAP15!C48</f>
        <v>0</v>
      </c>
      <c r="D47" s="71"/>
      <c r="E47" s="71">
        <f>[2]CAP15!E48</f>
        <v>0</v>
      </c>
      <c r="F47" s="60">
        <v>8.9200000000000002E-2</v>
      </c>
      <c r="G47" s="72">
        <f>ROUND(C47*F47,0)</f>
        <v>0</v>
      </c>
      <c r="H47" s="72"/>
      <c r="I47" s="73">
        <v>0</v>
      </c>
      <c r="J47" s="73">
        <f>F47*E47</f>
        <v>0</v>
      </c>
      <c r="K47" s="61">
        <f>J47+G47</f>
        <v>0</v>
      </c>
      <c r="L47" s="61">
        <f>K47+G47</f>
        <v>0</v>
      </c>
      <c r="M47" s="61"/>
      <c r="N47" s="61">
        <f>ROUND(C47*$N$7,0)</f>
        <v>0</v>
      </c>
      <c r="O47" s="61">
        <f>ROUND(C47*$O$7,0)</f>
        <v>0</v>
      </c>
      <c r="P47" s="61">
        <f>ROUND(C47*$P$7,0)</f>
        <v>0</v>
      </c>
      <c r="Q47" s="73"/>
      <c r="R47" s="73"/>
      <c r="S47" s="73">
        <f>ROUND(((N47-J47)*-0.35)+R47,0)</f>
        <v>0</v>
      </c>
      <c r="T47" s="61">
        <f>ROUND(((O47-G47)*-0.35)+S47,0)</f>
        <v>0</v>
      </c>
      <c r="U47" s="61">
        <f>ROUND(((P47-G47)*-0.35)+T47,0)</f>
        <v>0</v>
      </c>
      <c r="W47" s="61"/>
      <c r="X47" s="61"/>
    </row>
    <row r="48" spans="1:27">
      <c r="A48" s="49" t="s">
        <v>19</v>
      </c>
      <c r="C48" s="74">
        <f>SUM(C46:C47)</f>
        <v>0.4059602686803056</v>
      </c>
      <c r="D48" s="76"/>
      <c r="E48" s="74">
        <f>SUM(E46:E47)</f>
        <v>0.38904525748529284</v>
      </c>
      <c r="F48" s="76"/>
      <c r="G48" s="75">
        <f t="shared" ref="G48:X48" si="22">SUM(G46:G47)</f>
        <v>0</v>
      </c>
      <c r="H48" s="72"/>
      <c r="I48" s="74">
        <f t="shared" si="22"/>
        <v>0</v>
      </c>
      <c r="J48" s="74">
        <f t="shared" si="22"/>
        <v>1.4083438320967602E-2</v>
      </c>
      <c r="K48" s="74">
        <f t="shared" si="22"/>
        <v>1.4083438320967602E-2</v>
      </c>
      <c r="L48" s="74">
        <f t="shared" si="22"/>
        <v>1.4083438320967602E-2</v>
      </c>
      <c r="M48" s="72"/>
      <c r="N48" s="75">
        <f t="shared" si="22"/>
        <v>0</v>
      </c>
      <c r="O48" s="75">
        <f t="shared" si="22"/>
        <v>0</v>
      </c>
      <c r="P48" s="75">
        <f t="shared" si="22"/>
        <v>0</v>
      </c>
      <c r="Q48" s="76"/>
      <c r="R48" s="74">
        <f t="shared" si="22"/>
        <v>0</v>
      </c>
      <c r="S48" s="74">
        <f t="shared" si="22"/>
        <v>0</v>
      </c>
      <c r="T48" s="75">
        <f t="shared" si="22"/>
        <v>0</v>
      </c>
      <c r="U48" s="75">
        <f t="shared" si="22"/>
        <v>0</v>
      </c>
      <c r="W48" s="75">
        <f t="shared" si="22"/>
        <v>0</v>
      </c>
      <c r="X48" s="75">
        <f t="shared" si="22"/>
        <v>0</v>
      </c>
    </row>
    <row r="49" spans="1:27" ht="6" customHeight="1">
      <c r="C49" s="77"/>
      <c r="D49" s="76"/>
      <c r="E49" s="77"/>
      <c r="F49" s="60"/>
      <c r="G49" s="78"/>
      <c r="H49" s="72"/>
      <c r="I49" s="77"/>
      <c r="J49" s="77"/>
      <c r="K49" s="78"/>
      <c r="L49" s="78"/>
      <c r="M49" s="72"/>
      <c r="N49" s="92"/>
      <c r="O49" s="78"/>
      <c r="P49" s="78"/>
      <c r="Q49" s="76"/>
      <c r="R49" s="77"/>
      <c r="S49" s="77"/>
      <c r="T49" s="78"/>
      <c r="U49" s="78"/>
      <c r="X49" s="78"/>
    </row>
    <row r="50" spans="1:27">
      <c r="A50" s="49" t="s">
        <v>128</v>
      </c>
      <c r="C50" s="77">
        <f>[2]CAP15!C51</f>
        <v>1316.2873373759769</v>
      </c>
      <c r="D50" s="76"/>
      <c r="E50" s="77">
        <f>[2]CAP15!E51</f>
        <v>1122.34745071167</v>
      </c>
      <c r="F50" s="60">
        <v>0.23699999999999999</v>
      </c>
      <c r="G50" s="72">
        <f t="shared" ref="G50:G51" si="23">ROUND(C50*F50,0)</f>
        <v>312</v>
      </c>
      <c r="H50" s="72"/>
      <c r="I50" s="73">
        <v>0</v>
      </c>
      <c r="J50" s="73">
        <f t="shared" ref="J50:J51" si="24">F50*E50</f>
        <v>265.99634581866576</v>
      </c>
      <c r="K50" s="61">
        <f t="shared" ref="K50:K51" si="25">J50+G50</f>
        <v>577.99634581866576</v>
      </c>
      <c r="L50" s="61">
        <f t="shared" ref="L50:L51" si="26">K50+G50</f>
        <v>889.99634581866576</v>
      </c>
      <c r="M50" s="72"/>
      <c r="N50" s="61">
        <f>ROUND(C50*$N$7,0)</f>
        <v>263</v>
      </c>
      <c r="O50" s="61">
        <f>ROUND(C50*$O$7,0)</f>
        <v>421</v>
      </c>
      <c r="P50" s="61">
        <f t="shared" ref="P50" si="27">ROUND(C50*$P$7,0)</f>
        <v>253</v>
      </c>
      <c r="Q50" s="76"/>
      <c r="R50" s="73"/>
      <c r="S50" s="73">
        <f t="shared" ref="S50:S51" si="28">ROUND(((N50-J50)*-0.35)+R50,0)</f>
        <v>1</v>
      </c>
      <c r="T50" s="61">
        <f t="shared" ref="T50:T51" si="29">ROUND(((O50-G50)*-0.35)+S50,0)</f>
        <v>-37</v>
      </c>
      <c r="U50" s="61">
        <f t="shared" ref="U50:U51" si="30">ROUND(((P50-G50)*-0.35)+T50,0)</f>
        <v>-16</v>
      </c>
      <c r="X50" s="61"/>
    </row>
    <row r="51" spans="1:27">
      <c r="A51" s="49" t="s">
        <v>108</v>
      </c>
      <c r="C51" s="77">
        <f>[2]CAP15!C52</f>
        <v>449.74781986061112</v>
      </c>
      <c r="D51" s="76"/>
      <c r="E51" s="77">
        <f>[2]CAP15!E52</f>
        <v>325.61178368510741</v>
      </c>
      <c r="F51" s="60">
        <v>0.23699999999999999</v>
      </c>
      <c r="G51" s="72">
        <f t="shared" si="23"/>
        <v>107</v>
      </c>
      <c r="H51" s="72"/>
      <c r="I51" s="73">
        <v>0</v>
      </c>
      <c r="J51" s="73">
        <f t="shared" si="24"/>
        <v>77.169992733370449</v>
      </c>
      <c r="K51" s="61">
        <f t="shared" si="25"/>
        <v>184.16999273337046</v>
      </c>
      <c r="L51" s="61">
        <f t="shared" si="26"/>
        <v>291.16999273337046</v>
      </c>
      <c r="M51" s="72"/>
      <c r="N51" s="61">
        <f>ROUND(C51*$N$7,0)</f>
        <v>90</v>
      </c>
      <c r="O51" s="61">
        <f>ROUND(C51*$O$7,0)</f>
        <v>144</v>
      </c>
      <c r="P51" s="61">
        <f>ROUND(C51*$P$7,0)</f>
        <v>86</v>
      </c>
      <c r="Q51" s="76"/>
      <c r="R51" s="73"/>
      <c r="S51" s="73">
        <f t="shared" si="28"/>
        <v>-4</v>
      </c>
      <c r="T51" s="61">
        <f t="shared" si="29"/>
        <v>-17</v>
      </c>
      <c r="U51" s="61">
        <f t="shared" si="30"/>
        <v>-10</v>
      </c>
      <c r="W51" s="78">
        <f>-1504*0.61*0</f>
        <v>0</v>
      </c>
      <c r="X51" s="61">
        <f>W51*F51</f>
        <v>0</v>
      </c>
    </row>
    <row r="52" spans="1:27">
      <c r="A52" s="49" t="s">
        <v>129</v>
      </c>
      <c r="C52" s="77">
        <f>[2]CAP15!C53</f>
        <v>11846.586036383793</v>
      </c>
      <c r="D52" s="76"/>
      <c r="E52" s="77">
        <f>[2]CAP15!E53</f>
        <v>10101.12705640503</v>
      </c>
      <c r="F52" s="60">
        <v>6.6600000000000006E-2</v>
      </c>
      <c r="G52" s="72">
        <f>ROUND(C52*F52,0)</f>
        <v>789</v>
      </c>
      <c r="H52" s="72"/>
      <c r="I52" s="73">
        <v>0</v>
      </c>
      <c r="J52" s="73">
        <f>F52*E52</f>
        <v>672.73506195657512</v>
      </c>
      <c r="K52" s="61">
        <f>J52+G52</f>
        <v>1461.735061956575</v>
      </c>
      <c r="L52" s="61">
        <f>K52+G52</f>
        <v>2250.735061956575</v>
      </c>
      <c r="M52" s="61"/>
      <c r="N52" s="61">
        <f>ROUND(C52*$N$8,0)</f>
        <v>3948</v>
      </c>
      <c r="O52" s="61">
        <f>ROUND(C52*$O$8,0)</f>
        <v>5266</v>
      </c>
      <c r="P52" s="61">
        <f>ROUND(C52*$P$8,0)</f>
        <v>1754</v>
      </c>
      <c r="Q52" s="73"/>
      <c r="R52" s="73"/>
      <c r="S52" s="73">
        <f>ROUND(((N52-J52)*-0.35)+R52,0)</f>
        <v>-1146</v>
      </c>
      <c r="T52" s="61">
        <f>ROUND(((O52-G52)*-0.35)+S52,0)</f>
        <v>-2713</v>
      </c>
      <c r="U52" s="61">
        <f>ROUND(((P52-G52)*-0.35)+T52,0)</f>
        <v>-3051</v>
      </c>
      <c r="W52" s="61">
        <v>0</v>
      </c>
      <c r="X52" s="61"/>
      <c r="Z52" s="50"/>
      <c r="AA52" s="50"/>
    </row>
    <row r="53" spans="1:27">
      <c r="A53" s="49" t="s">
        <v>24</v>
      </c>
      <c r="C53" s="79">
        <f>[2]CAP15!C54</f>
        <v>287.54368810760388</v>
      </c>
      <c r="D53" s="71"/>
      <c r="E53" s="79">
        <f>[2]CAP15!E54</f>
        <v>208.17802563474083</v>
      </c>
      <c r="F53" s="60">
        <v>0.2</v>
      </c>
      <c r="G53" s="80">
        <f>ROUND(C53*F53,0)</f>
        <v>58</v>
      </c>
      <c r="H53" s="72"/>
      <c r="I53" s="81">
        <v>0</v>
      </c>
      <c r="J53" s="81">
        <f>F53*E53</f>
        <v>41.635605126948171</v>
      </c>
      <c r="K53" s="82">
        <f>J53+G53</f>
        <v>99.635605126948178</v>
      </c>
      <c r="L53" s="82">
        <f>K53+G53</f>
        <v>157.63560512694818</v>
      </c>
      <c r="M53" s="61"/>
      <c r="N53" s="82">
        <f>ROUND(C53*$N$8,0)</f>
        <v>96</v>
      </c>
      <c r="O53" s="82">
        <f>ROUND(C53*$O$8,0)</f>
        <v>128</v>
      </c>
      <c r="P53" s="82">
        <f>ROUND(C53*$P$8,0)</f>
        <v>43</v>
      </c>
      <c r="Q53" s="73"/>
      <c r="R53" s="81"/>
      <c r="S53" s="81">
        <f>ROUND(((N53-J53)*-0.35)+R53,0)</f>
        <v>-19</v>
      </c>
      <c r="T53" s="82">
        <f>ROUND(((O53-G53)*-0.35)+S53,0)</f>
        <v>-44</v>
      </c>
      <c r="U53" s="82">
        <f>ROUND(((P53-G53)*-0.35)+T53,0)</f>
        <v>-39</v>
      </c>
      <c r="W53" s="82">
        <f>-1504*0.39*0</f>
        <v>0</v>
      </c>
      <c r="X53" s="82">
        <f>W53*F53</f>
        <v>0</v>
      </c>
      <c r="Z53" s="73"/>
      <c r="AA53" s="61"/>
    </row>
    <row r="54" spans="1:27">
      <c r="A54" s="49" t="s">
        <v>127</v>
      </c>
      <c r="C54" s="97">
        <f>SUM(C50:C53)</f>
        <v>13900.164881727984</v>
      </c>
      <c r="D54" s="71"/>
      <c r="E54" s="97">
        <f>SUM(E50:E53)</f>
        <v>11757.264316436549</v>
      </c>
      <c r="F54" s="60"/>
      <c r="G54" s="97">
        <f>SUM(G50:G53)</f>
        <v>1266</v>
      </c>
      <c r="H54" s="72"/>
      <c r="I54" s="97">
        <f t="shared" ref="I54:L54" si="31">SUM(I50:I53)</f>
        <v>0</v>
      </c>
      <c r="J54" s="97">
        <f t="shared" si="31"/>
        <v>1057.5370056355596</v>
      </c>
      <c r="K54" s="97">
        <f t="shared" si="31"/>
        <v>2323.5370056355591</v>
      </c>
      <c r="L54" s="97">
        <f t="shared" si="31"/>
        <v>3589.5370056355591</v>
      </c>
      <c r="M54" s="61"/>
      <c r="N54" s="97">
        <f t="shared" ref="N54:P54" si="32">SUM(N50:N53)</f>
        <v>4397</v>
      </c>
      <c r="O54" s="97">
        <f t="shared" si="32"/>
        <v>5959</v>
      </c>
      <c r="P54" s="97">
        <f t="shared" si="32"/>
        <v>2136</v>
      </c>
      <c r="Q54" s="73"/>
      <c r="R54" s="97">
        <f t="shared" ref="R54:X54" si="33">SUM(R50:R53)</f>
        <v>0</v>
      </c>
      <c r="S54" s="97">
        <f t="shared" si="33"/>
        <v>-1168</v>
      </c>
      <c r="T54" s="97">
        <f t="shared" si="33"/>
        <v>-2811</v>
      </c>
      <c r="U54" s="97">
        <f t="shared" si="33"/>
        <v>-3116</v>
      </c>
      <c r="W54" s="97">
        <f t="shared" si="33"/>
        <v>0</v>
      </c>
      <c r="X54" s="97">
        <f t="shared" si="33"/>
        <v>0</v>
      </c>
      <c r="Z54" s="50"/>
      <c r="AA54" s="50"/>
    </row>
    <row r="55" spans="1:27">
      <c r="C55" s="77"/>
      <c r="D55" s="76"/>
      <c r="E55" s="77"/>
      <c r="F55" s="60"/>
      <c r="G55" s="77"/>
      <c r="H55" s="72"/>
      <c r="I55" s="77"/>
      <c r="J55" s="77"/>
      <c r="K55" s="77"/>
      <c r="L55" s="77"/>
      <c r="M55" s="72"/>
      <c r="N55" s="77"/>
      <c r="O55" s="77"/>
      <c r="P55" s="77"/>
      <c r="Q55" s="76"/>
      <c r="R55" s="77"/>
      <c r="S55" s="77"/>
      <c r="T55" s="77"/>
      <c r="U55" s="77"/>
      <c r="W55" s="78"/>
      <c r="X55" s="77"/>
      <c r="Z55" s="50"/>
      <c r="AA55" s="50"/>
    </row>
    <row r="56" spans="1:27" s="88" customFormat="1" ht="13.5" thickBot="1">
      <c r="A56" s="88" t="s">
        <v>28</v>
      </c>
      <c r="C56" s="93">
        <f>SUM(C38,C44,C48,C54)</f>
        <v>18399.427841996665</v>
      </c>
      <c r="D56" s="86"/>
      <c r="E56" s="93">
        <f>SUM(E38,E44,E48,E54)</f>
        <v>14803.157070027368</v>
      </c>
      <c r="F56" s="52"/>
      <c r="G56" s="93">
        <f>SUM(G38,G44,G48,G54)</f>
        <v>1379</v>
      </c>
      <c r="H56" s="86"/>
      <c r="I56" s="93">
        <f t="shared" ref="I56:L56" si="34">SUM(I38,I44,I48,I54)</f>
        <v>0</v>
      </c>
      <c r="J56" s="93">
        <f t="shared" si="34"/>
        <v>1134.2977825238806</v>
      </c>
      <c r="K56" s="93">
        <f t="shared" si="34"/>
        <v>2513.29778252388</v>
      </c>
      <c r="L56" s="93">
        <f t="shared" si="34"/>
        <v>3892.29778252388</v>
      </c>
      <c r="M56" s="86"/>
      <c r="N56" s="85">
        <f t="shared" ref="N56:P56" si="35">SUM(N38,N44,N48,N54)</f>
        <v>4566</v>
      </c>
      <c r="O56" s="85">
        <f t="shared" si="35"/>
        <v>6284</v>
      </c>
      <c r="P56" s="85">
        <f t="shared" si="35"/>
        <v>2436</v>
      </c>
      <c r="Q56" s="87"/>
      <c r="R56" s="93">
        <f t="shared" ref="R56:X56" si="36">SUM(R38,R44,R48,R54)</f>
        <v>0</v>
      </c>
      <c r="S56" s="93">
        <f t="shared" si="36"/>
        <v>-1200</v>
      </c>
      <c r="T56" s="93">
        <f t="shared" si="36"/>
        <v>-2917</v>
      </c>
      <c r="U56" s="93">
        <f t="shared" si="36"/>
        <v>-3287</v>
      </c>
      <c r="W56" s="93">
        <f t="shared" si="36"/>
        <v>0</v>
      </c>
      <c r="X56" s="93">
        <f t="shared" si="36"/>
        <v>0</v>
      </c>
    </row>
    <row r="57" spans="1:27">
      <c r="C57" s="149" t="s">
        <v>118</v>
      </c>
      <c r="D57" s="149"/>
      <c r="E57" s="149" t="s">
        <v>118</v>
      </c>
      <c r="G57" s="278" t="s">
        <v>118</v>
      </c>
      <c r="H57" s="278"/>
      <c r="J57" s="278" t="s">
        <v>118</v>
      </c>
      <c r="K57" s="278"/>
      <c r="N57" s="89"/>
      <c r="O57" s="89"/>
      <c r="P57" s="89"/>
      <c r="S57" s="278" t="s">
        <v>118</v>
      </c>
      <c r="T57" s="278"/>
      <c r="W57" s="278" t="s">
        <v>118</v>
      </c>
      <c r="X57" s="278"/>
    </row>
    <row r="58" spans="1:27">
      <c r="D58" s="51"/>
      <c r="J58" s="94"/>
    </row>
    <row r="59" spans="1:27">
      <c r="C59" s="94"/>
      <c r="D59" s="145"/>
      <c r="E59" s="94"/>
      <c r="J59" s="94"/>
    </row>
    <row r="60" spans="1:27">
      <c r="D60" s="51"/>
      <c r="J60" s="94"/>
    </row>
    <row r="61" spans="1:27">
      <c r="J61" s="94"/>
    </row>
  </sheetData>
  <mergeCells count="13">
    <mergeCell ref="W8:X9"/>
    <mergeCell ref="W10:X10"/>
    <mergeCell ref="G57:H57"/>
    <mergeCell ref="J57:K57"/>
    <mergeCell ref="S57:T57"/>
    <mergeCell ref="I10:L10"/>
    <mergeCell ref="N10:P10"/>
    <mergeCell ref="R10:U10"/>
    <mergeCell ref="G36:H36"/>
    <mergeCell ref="J36:K36"/>
    <mergeCell ref="S36:T36"/>
    <mergeCell ref="W36:X36"/>
    <mergeCell ref="W57:X57"/>
  </mergeCells>
  <pageMargins left="0.25" right="0" top="0.25" bottom="0.5" header="0" footer="0"/>
  <pageSetup scale="55" orientation="landscape" r:id="rId1"/>
  <headerFooter scaleWithDoc="0" alignWithMargins="0">
    <oddFooter>&amp;L&amp;A
&amp;RPage &amp;P of &amp;N
KKS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7"/>
  <sheetViews>
    <sheetView topLeftCell="A7" zoomScaleNormal="100" workbookViewId="0">
      <selection activeCell="A54" sqref="A54:M54"/>
    </sheetView>
  </sheetViews>
  <sheetFormatPr defaultRowHeight="12.75"/>
  <cols>
    <col min="1" max="1" width="21.28515625" style="49" bestFit="1" customWidth="1"/>
    <col min="2" max="2" width="7.28515625" style="49" bestFit="1" customWidth="1"/>
    <col min="3" max="3" width="12.28515625" style="47" bestFit="1" customWidth="1"/>
    <col min="4" max="4" width="7.7109375" style="51" customWidth="1"/>
    <col min="5" max="5" width="11.28515625" style="47" bestFit="1" customWidth="1"/>
    <col min="6" max="6" width="10.85546875" style="48" bestFit="1" customWidth="1"/>
    <col min="7" max="7" width="16" style="49" customWidth="1"/>
    <col min="8" max="8" width="2.7109375" style="50" customWidth="1"/>
    <col min="9" max="9" width="9.85546875" style="47" customWidth="1"/>
    <col min="10" max="10" width="10.42578125" style="47" bestFit="1" customWidth="1"/>
    <col min="11" max="11" width="11.28515625" style="49" bestFit="1" customWidth="1"/>
    <col min="12" max="12" width="2.7109375" style="50" customWidth="1"/>
    <col min="13" max="13" width="12.42578125" style="49" bestFit="1" customWidth="1"/>
    <col min="14" max="14" width="12" style="49" bestFit="1" customWidth="1"/>
    <col min="15" max="15" width="2.7109375" style="51" customWidth="1"/>
    <col min="16" max="16" width="8.85546875" style="47" bestFit="1" customWidth="1"/>
    <col min="17" max="17" width="10.85546875" style="47" bestFit="1" customWidth="1"/>
    <col min="18" max="18" width="10.85546875" style="49" bestFit="1" customWidth="1"/>
    <col min="19" max="19" width="9.140625" style="49"/>
    <col min="20" max="20" width="11.5703125" style="49" customWidth="1"/>
    <col min="21" max="21" width="10.7109375" style="49" customWidth="1"/>
    <col min="22" max="16384" width="9.140625" style="49"/>
  </cols>
  <sheetData>
    <row r="1" spans="1:21">
      <c r="A1" s="46" t="s">
        <v>80</v>
      </c>
      <c r="B1" s="46"/>
    </row>
    <row r="2" spans="1:21">
      <c r="A2" s="46" t="s">
        <v>106</v>
      </c>
      <c r="B2" s="46"/>
    </row>
    <row r="3" spans="1:21">
      <c r="A3" s="52" t="str">
        <f>'E-CAP14, G-CAP14'!A3</f>
        <v>Test Year Ended September 30, 2014 Ratebase Adjusted to 12/31/16 AMA</v>
      </c>
      <c r="B3" s="52"/>
    </row>
    <row r="4" spans="1:21" s="57" customFormat="1" ht="25.5">
      <c r="A4" s="53"/>
      <c r="B4" s="53"/>
      <c r="C4" s="54"/>
      <c r="D4" s="54"/>
      <c r="E4" s="53"/>
      <c r="F4" s="55"/>
      <c r="G4" s="56" t="s">
        <v>32</v>
      </c>
      <c r="H4" s="56"/>
      <c r="I4" s="53"/>
      <c r="J4" s="53"/>
      <c r="M4" s="58" t="s">
        <v>0</v>
      </c>
      <c r="N4" s="58" t="s">
        <v>1</v>
      </c>
      <c r="O4" s="59"/>
      <c r="P4" s="53"/>
      <c r="Q4" s="53"/>
    </row>
    <row r="5" spans="1:21" s="50" customFormat="1">
      <c r="A5" s="51"/>
      <c r="B5" s="51"/>
      <c r="C5" s="52"/>
      <c r="D5" s="52"/>
      <c r="E5" s="51"/>
      <c r="F5" s="60"/>
      <c r="G5" s="61" t="s">
        <v>33</v>
      </c>
      <c r="H5" s="61"/>
      <c r="I5" s="51"/>
      <c r="J5" s="51"/>
      <c r="M5" s="62">
        <v>3.7499999999999999E-2</v>
      </c>
      <c r="N5" s="62">
        <v>7.2190000000000004E-2</v>
      </c>
      <c r="O5" s="63"/>
      <c r="P5" s="51"/>
      <c r="Q5" s="51"/>
    </row>
    <row r="6" spans="1:21" s="50" customFormat="1">
      <c r="A6" s="52"/>
      <c r="B6" s="52"/>
      <c r="C6" s="52"/>
      <c r="D6" s="52"/>
      <c r="E6" s="51"/>
      <c r="F6" s="60"/>
      <c r="G6" s="61" t="s">
        <v>13</v>
      </c>
      <c r="H6" s="61"/>
      <c r="I6" s="51"/>
      <c r="J6" s="51"/>
      <c r="M6" s="64">
        <v>0.14280000000000001</v>
      </c>
      <c r="N6" s="64">
        <v>0.24490000000000001</v>
      </c>
      <c r="O6" s="65"/>
      <c r="P6" s="51"/>
      <c r="Q6" s="51"/>
    </row>
    <row r="7" spans="1:21" s="50" customFormat="1">
      <c r="A7" s="52"/>
      <c r="B7" s="52"/>
      <c r="C7" s="52"/>
      <c r="D7" s="52"/>
      <c r="E7" s="51"/>
      <c r="F7" s="60"/>
      <c r="G7" s="61" t="s">
        <v>107</v>
      </c>
      <c r="H7" s="61"/>
      <c r="I7" s="51"/>
      <c r="J7" s="51"/>
      <c r="M7" s="64">
        <v>0.2</v>
      </c>
      <c r="N7" s="64">
        <v>0.32</v>
      </c>
      <c r="O7" s="65"/>
      <c r="P7" s="51"/>
      <c r="Q7" s="51"/>
    </row>
    <row r="8" spans="1:21" s="50" customFormat="1">
      <c r="A8" s="52"/>
      <c r="B8" s="52"/>
      <c r="C8" s="52"/>
      <c r="D8" s="52"/>
      <c r="E8" s="51"/>
      <c r="F8" s="60"/>
      <c r="G8" s="61" t="s">
        <v>24</v>
      </c>
      <c r="H8" s="61"/>
      <c r="I8" s="51"/>
      <c r="J8" s="51"/>
      <c r="M8" s="64">
        <v>0.33329999999999999</v>
      </c>
      <c r="N8" s="64">
        <v>0.44450000000000001</v>
      </c>
      <c r="O8" s="65"/>
      <c r="P8" s="51"/>
      <c r="Q8" s="51"/>
    </row>
    <row r="9" spans="1:21" s="50" customFormat="1">
      <c r="A9" s="51"/>
      <c r="B9" s="51"/>
      <c r="C9" s="51"/>
      <c r="D9" s="51"/>
      <c r="E9" s="51"/>
      <c r="F9" s="60"/>
      <c r="I9" s="51"/>
      <c r="J9" s="51"/>
      <c r="N9" s="51"/>
      <c r="O9" s="51"/>
      <c r="P9" s="51"/>
      <c r="Q9" s="51"/>
    </row>
    <row r="10" spans="1:21" s="50" customFormat="1">
      <c r="A10" s="51"/>
      <c r="B10" s="51"/>
      <c r="C10" s="51"/>
      <c r="D10" s="51"/>
      <c r="E10" s="51"/>
      <c r="F10" s="60"/>
      <c r="I10" s="274" t="s">
        <v>59</v>
      </c>
      <c r="J10" s="275"/>
      <c r="K10" s="276"/>
      <c r="L10" s="66"/>
      <c r="M10" s="272" t="s">
        <v>76</v>
      </c>
      <c r="N10" s="277"/>
      <c r="O10" s="66"/>
      <c r="P10" s="272" t="s">
        <v>77</v>
      </c>
      <c r="Q10" s="277"/>
      <c r="R10" s="273"/>
      <c r="T10" s="272" t="s">
        <v>133</v>
      </c>
      <c r="U10" s="273"/>
    </row>
    <row r="11" spans="1:21" s="59" customFormat="1" ht="38.25">
      <c r="A11" s="67" t="s">
        <v>9</v>
      </c>
      <c r="B11" s="67"/>
      <c r="C11" s="67" t="s">
        <v>29</v>
      </c>
      <c r="D11" s="67"/>
      <c r="E11" s="67" t="s">
        <v>30</v>
      </c>
      <c r="F11" s="68" t="s">
        <v>31</v>
      </c>
      <c r="G11" s="69" t="s">
        <v>14</v>
      </c>
      <c r="H11" s="69"/>
      <c r="I11" s="70" t="s">
        <v>68</v>
      </c>
      <c r="J11" s="70" t="s">
        <v>78</v>
      </c>
      <c r="K11" s="70" t="s">
        <v>105</v>
      </c>
      <c r="L11" s="70"/>
      <c r="M11" s="70">
        <v>2016</v>
      </c>
      <c r="N11" s="70">
        <v>2017</v>
      </c>
      <c r="O11" s="70"/>
      <c r="P11" s="70" t="s">
        <v>68</v>
      </c>
      <c r="Q11" s="70" t="s">
        <v>78</v>
      </c>
      <c r="R11" s="70" t="s">
        <v>105</v>
      </c>
      <c r="T11" s="70" t="s">
        <v>113</v>
      </c>
      <c r="U11" s="70" t="s">
        <v>137</v>
      </c>
    </row>
    <row r="12" spans="1:21">
      <c r="A12" s="47" t="s">
        <v>15</v>
      </c>
      <c r="B12" s="47"/>
      <c r="N12" s="47"/>
    </row>
    <row r="13" spans="1:21">
      <c r="A13" s="47" t="s">
        <v>16</v>
      </c>
      <c r="B13" s="47"/>
      <c r="C13" s="71">
        <f>[3]CAP16!C12</f>
        <v>6831.7920504000012</v>
      </c>
      <c r="D13" s="71"/>
      <c r="E13" s="71">
        <f>[3]CAP16!E12</f>
        <v>3240.6908922749994</v>
      </c>
      <c r="F13" s="60">
        <v>1.9199999999999998E-2</v>
      </c>
      <c r="G13" s="72">
        <f>ROUND(C13*F13,0)</f>
        <v>131</v>
      </c>
      <c r="H13" s="72"/>
      <c r="I13" s="73">
        <v>0</v>
      </c>
      <c r="J13" s="73">
        <f>F13*E13</f>
        <v>62.221265131679985</v>
      </c>
      <c r="K13" s="61">
        <f>J13+G13</f>
        <v>193.22126513167998</v>
      </c>
      <c r="L13" s="61"/>
      <c r="M13" s="61">
        <f>ROUND(C13*$M$5,0)</f>
        <v>256</v>
      </c>
      <c r="N13" s="61">
        <f>ROUND(C13*$N$5,0)</f>
        <v>493</v>
      </c>
      <c r="O13" s="73"/>
      <c r="P13" s="73"/>
      <c r="Q13" s="73">
        <f>ROUND(((M13-J13)*-0.35)+P13,0)</f>
        <v>-68</v>
      </c>
      <c r="R13" s="61">
        <f>ROUND(((N13-G13)*-0.35)+Q13,0)</f>
        <v>-195</v>
      </c>
      <c r="T13" s="61">
        <f>-1186</f>
        <v>-1186</v>
      </c>
      <c r="U13" s="61">
        <f>T13*F13</f>
        <v>-22.771199999999997</v>
      </c>
    </row>
    <row r="14" spans="1:21">
      <c r="A14" s="47" t="s">
        <v>17</v>
      </c>
      <c r="B14" s="47"/>
      <c r="C14" s="71">
        <f>[3]CAP16!C13</f>
        <v>30528.462658200002</v>
      </c>
      <c r="D14" s="71"/>
      <c r="E14" s="71">
        <f>[3]CAP16!E13</f>
        <v>6876.3188847500023</v>
      </c>
      <c r="F14" s="60">
        <v>1.8700000000000001E-2</v>
      </c>
      <c r="G14" s="72">
        <f>ROUND(C14*F14,0)</f>
        <v>571</v>
      </c>
      <c r="H14" s="72"/>
      <c r="I14" s="73">
        <v>0</v>
      </c>
      <c r="J14" s="73">
        <f>F14*E14</f>
        <v>128.58716314482504</v>
      </c>
      <c r="K14" s="61">
        <f>J14+G14</f>
        <v>699.58716314482501</v>
      </c>
      <c r="L14" s="61"/>
      <c r="M14" s="61">
        <f>ROUND(C14*$M$5,0)</f>
        <v>1145</v>
      </c>
      <c r="N14" s="61">
        <f>ROUND(C14*$N$5,0)</f>
        <v>2204</v>
      </c>
      <c r="O14" s="73"/>
      <c r="P14" s="73"/>
      <c r="Q14" s="73">
        <f>ROUND(((M14-J14)*-0.35)+P14,0)</f>
        <v>-356</v>
      </c>
      <c r="R14" s="61">
        <f>ROUND(((N14-G14)*-0.35)+Q14,0)</f>
        <v>-928</v>
      </c>
      <c r="T14" s="61">
        <f>-440</f>
        <v>-440</v>
      </c>
      <c r="U14" s="61">
        <f t="shared" ref="U14:U15" si="0">T14*F14</f>
        <v>-8.2279999999999998</v>
      </c>
    </row>
    <row r="15" spans="1:21">
      <c r="A15" s="47" t="s">
        <v>18</v>
      </c>
      <c r="B15" s="47"/>
      <c r="C15" s="71">
        <f>[3]CAP16!C14</f>
        <v>3063.9300000000003</v>
      </c>
      <c r="D15" s="71"/>
      <c r="E15" s="71">
        <f>[3]CAP16!E14</f>
        <v>1349.9762500000002</v>
      </c>
      <c r="F15" s="60">
        <v>3.2300000000000002E-2</v>
      </c>
      <c r="G15" s="72">
        <f>ROUND(C15*F15,0)</f>
        <v>99</v>
      </c>
      <c r="H15" s="72"/>
      <c r="I15" s="73">
        <v>0</v>
      </c>
      <c r="J15" s="73">
        <f>F15*E15</f>
        <v>43.604232875000008</v>
      </c>
      <c r="K15" s="61">
        <f>J15+G15</f>
        <v>142.60423287500001</v>
      </c>
      <c r="L15" s="61"/>
      <c r="M15" s="61">
        <f>ROUND(C15*$M$5,0)</f>
        <v>115</v>
      </c>
      <c r="N15" s="61">
        <f>ROUND(C15*$N$5,0)</f>
        <v>221</v>
      </c>
      <c r="O15" s="73"/>
      <c r="P15" s="73"/>
      <c r="Q15" s="73">
        <f>ROUND(((M15-J15)*-0.35)+P15,0)</f>
        <v>-25</v>
      </c>
      <c r="R15" s="61">
        <f>ROUND(((N15-G15)*-0.35)+Q15,0)</f>
        <v>-68</v>
      </c>
      <c r="T15" s="61">
        <f>-287</f>
        <v>-287</v>
      </c>
      <c r="U15" s="61">
        <f t="shared" si="0"/>
        <v>-9.2701000000000011</v>
      </c>
    </row>
    <row r="16" spans="1:21">
      <c r="A16" s="47" t="s">
        <v>19</v>
      </c>
      <c r="B16" s="148" t="s">
        <v>120</v>
      </c>
      <c r="C16" s="74">
        <f>SUM(C13:C15)</f>
        <v>40424.184708600005</v>
      </c>
      <c r="D16" s="148" t="s">
        <v>120</v>
      </c>
      <c r="E16" s="74">
        <f>SUM(E13:E15)</f>
        <v>11466.986027025001</v>
      </c>
      <c r="F16" s="51"/>
      <c r="G16" s="75">
        <f t="shared" ref="G16:U16" si="1">SUM(G13:G15)</f>
        <v>801</v>
      </c>
      <c r="H16" s="72"/>
      <c r="I16" s="74">
        <f t="shared" si="1"/>
        <v>0</v>
      </c>
      <c r="J16" s="74">
        <f t="shared" si="1"/>
        <v>234.41266115150503</v>
      </c>
      <c r="K16" s="75">
        <f t="shared" si="1"/>
        <v>1035.4126611515051</v>
      </c>
      <c r="L16" s="72"/>
      <c r="M16" s="75">
        <f t="shared" si="1"/>
        <v>1516</v>
      </c>
      <c r="N16" s="75">
        <f t="shared" si="1"/>
        <v>2918</v>
      </c>
      <c r="O16" s="76"/>
      <c r="P16" s="74">
        <f t="shared" si="1"/>
        <v>0</v>
      </c>
      <c r="Q16" s="74">
        <f t="shared" si="1"/>
        <v>-449</v>
      </c>
      <c r="R16" s="75">
        <f t="shared" si="1"/>
        <v>-1191</v>
      </c>
      <c r="T16" s="75">
        <f t="shared" si="1"/>
        <v>-1913</v>
      </c>
      <c r="U16" s="75">
        <f t="shared" si="1"/>
        <v>-40.269299999999994</v>
      </c>
    </row>
    <row r="17" spans="1:26" ht="6" customHeight="1">
      <c r="A17" s="47"/>
      <c r="B17" s="47"/>
      <c r="C17" s="77"/>
      <c r="D17" s="76"/>
      <c r="E17" s="77"/>
      <c r="G17" s="78"/>
      <c r="H17" s="72"/>
      <c r="I17" s="77"/>
      <c r="J17" s="77"/>
      <c r="K17" s="78"/>
      <c r="L17" s="72"/>
      <c r="M17" s="78"/>
      <c r="N17" s="78"/>
      <c r="O17" s="76"/>
      <c r="P17" s="77"/>
      <c r="Q17" s="77"/>
      <c r="R17" s="78"/>
      <c r="T17" s="78"/>
      <c r="U17" s="78"/>
    </row>
    <row r="18" spans="1:26">
      <c r="A18" s="47" t="s">
        <v>20</v>
      </c>
      <c r="B18" s="47"/>
      <c r="C18" s="79">
        <f>[3]CAP16!C17</f>
        <v>38781.806673200001</v>
      </c>
      <c r="D18" s="71"/>
      <c r="E18" s="79">
        <f>[3]CAP16!E17</f>
        <v>8193.8794129750004</v>
      </c>
      <c r="F18" s="60">
        <v>1.8200000000000001E-2</v>
      </c>
      <c r="G18" s="80">
        <f>ROUND(C18*F18,0)</f>
        <v>706</v>
      </c>
      <c r="H18" s="72"/>
      <c r="I18" s="81">
        <v>0</v>
      </c>
      <c r="J18" s="81">
        <f>F18*E18</f>
        <v>149.12860531614501</v>
      </c>
      <c r="K18" s="82">
        <f>J18+G18</f>
        <v>855.12860531614501</v>
      </c>
      <c r="L18" s="61"/>
      <c r="M18" s="82">
        <f>ROUND(C18*$M$5,0)</f>
        <v>1454</v>
      </c>
      <c r="N18" s="82">
        <f>ROUND(C18*$N$5,0)</f>
        <v>2800</v>
      </c>
      <c r="O18" s="73"/>
      <c r="P18" s="81"/>
      <c r="Q18" s="81">
        <f>ROUND(((M18-J18)*-0.35)+P18,0)</f>
        <v>-457</v>
      </c>
      <c r="R18" s="82">
        <f>ROUND(((N18-G18)*-0.35)+Q18,0)</f>
        <v>-1190</v>
      </c>
      <c r="T18" s="82">
        <f>-5111</f>
        <v>-5111</v>
      </c>
      <c r="U18" s="82">
        <f t="shared" ref="U18" si="2">T18*F18</f>
        <v>-93.020200000000003</v>
      </c>
    </row>
    <row r="19" spans="1:26" ht="6" customHeight="1">
      <c r="A19" s="47"/>
      <c r="B19" s="47"/>
      <c r="C19" s="77"/>
      <c r="D19" s="76"/>
      <c r="E19" s="77"/>
      <c r="G19" s="78"/>
      <c r="H19" s="72"/>
      <c r="I19" s="77"/>
      <c r="J19" s="77"/>
      <c r="K19" s="78"/>
      <c r="L19" s="72"/>
      <c r="M19" s="78"/>
      <c r="N19" s="78"/>
      <c r="O19" s="76"/>
      <c r="P19" s="76"/>
      <c r="Q19" s="77"/>
      <c r="R19" s="78"/>
      <c r="T19" s="78"/>
      <c r="U19" s="78"/>
    </row>
    <row r="20" spans="1:26">
      <c r="A20" s="47" t="s">
        <v>11</v>
      </c>
      <c r="B20" s="47"/>
      <c r="C20" s="77"/>
      <c r="D20" s="76"/>
      <c r="E20" s="77"/>
      <c r="G20" s="78"/>
      <c r="H20" s="72"/>
      <c r="I20" s="77"/>
      <c r="J20" s="77"/>
      <c r="K20" s="78"/>
      <c r="L20" s="72"/>
      <c r="M20" s="78"/>
      <c r="N20" s="78"/>
      <c r="O20" s="76"/>
      <c r="P20" s="76"/>
      <c r="Q20" s="77"/>
      <c r="R20" s="78"/>
      <c r="T20" s="78"/>
      <c r="U20" s="78"/>
    </row>
    <row r="21" spans="1:26">
      <c r="A21" s="47" t="s">
        <v>21</v>
      </c>
      <c r="B21" s="47"/>
      <c r="C21" s="71">
        <f>[3]CAP16!C20</f>
        <v>5766.8689999999997</v>
      </c>
      <c r="D21" s="71"/>
      <c r="E21" s="71">
        <f>[3]CAP16!E20</f>
        <v>2717.9277916666661</v>
      </c>
      <c r="F21" s="60">
        <v>2.92E-2</v>
      </c>
      <c r="G21" s="72">
        <f>ROUND(C21*F21,0)</f>
        <v>168</v>
      </c>
      <c r="H21" s="72"/>
      <c r="I21" s="73">
        <v>0</v>
      </c>
      <c r="J21" s="73">
        <f>F21*E21</f>
        <v>79.363491516666656</v>
      </c>
      <c r="K21" s="61">
        <f>J21+G21</f>
        <v>247.36349151666667</v>
      </c>
      <c r="L21" s="61"/>
      <c r="M21" s="61">
        <f>ROUND(C21*$M$5,0)</f>
        <v>216</v>
      </c>
      <c r="N21" s="61">
        <f>ROUND(C21*$N$5,0)</f>
        <v>416</v>
      </c>
      <c r="O21" s="73"/>
      <c r="P21" s="73"/>
      <c r="Q21" s="73">
        <f>ROUND(((M21-J21)*-0.35)+P21,0)</f>
        <v>-48</v>
      </c>
      <c r="R21" s="61">
        <f>ROUND(((N21-G21)*-0.35)+Q21,0)</f>
        <v>-135</v>
      </c>
      <c r="T21" s="61">
        <f>-3668</f>
        <v>-3668</v>
      </c>
      <c r="U21" s="61">
        <f t="shared" ref="U21" si="3">T21*F21</f>
        <v>-107.1056</v>
      </c>
    </row>
    <row r="22" spans="1:26">
      <c r="A22" s="47" t="s">
        <v>22</v>
      </c>
      <c r="B22" s="47"/>
      <c r="C22" s="71">
        <f>[3]CAP16!C21</f>
        <v>37133.071857772928</v>
      </c>
      <c r="D22" s="71"/>
      <c r="E22" s="71">
        <f>[3]CAP16!E21</f>
        <v>16777.006472251163</v>
      </c>
      <c r="F22" s="60">
        <v>2.92E-2</v>
      </c>
      <c r="G22" s="72">
        <f>ROUND(C22*F22,0)</f>
        <v>1084</v>
      </c>
      <c r="H22" s="72"/>
      <c r="I22" s="73">
        <v>0</v>
      </c>
      <c r="J22" s="73">
        <f>F22*E22</f>
        <v>489.88858898973399</v>
      </c>
      <c r="K22" s="61">
        <f>J22+G22</f>
        <v>1573.888588989734</v>
      </c>
      <c r="L22" s="61"/>
      <c r="M22" s="61">
        <f>ROUND(C22*$M$5,0)</f>
        <v>1392</v>
      </c>
      <c r="N22" s="61">
        <f>ROUND(C22*$N$5,0)</f>
        <v>2681</v>
      </c>
      <c r="O22" s="73"/>
      <c r="P22" s="73"/>
      <c r="Q22" s="73">
        <f>ROUND(((M22-J22)*-0.35)+P22,0)</f>
        <v>-316</v>
      </c>
      <c r="R22" s="61">
        <f>ROUND(((N22-G22)*-0.35)+Q22,0)</f>
        <v>-875</v>
      </c>
      <c r="T22" s="61"/>
      <c r="U22" s="61"/>
    </row>
    <row r="23" spans="1:26">
      <c r="A23" s="47" t="s">
        <v>19</v>
      </c>
      <c r="B23" s="47"/>
      <c r="C23" s="74">
        <f>SUM(C21:C22)</f>
        <v>42899.940857772926</v>
      </c>
      <c r="D23" s="76"/>
      <c r="E23" s="74">
        <f t="shared" ref="E23:U23" si="4">SUM(E21:E22)</f>
        <v>19494.934263917829</v>
      </c>
      <c r="F23" s="51"/>
      <c r="G23" s="75">
        <f t="shared" si="4"/>
        <v>1252</v>
      </c>
      <c r="H23" s="72"/>
      <c r="I23" s="74">
        <f t="shared" si="4"/>
        <v>0</v>
      </c>
      <c r="J23" s="74">
        <f t="shared" si="4"/>
        <v>569.2520805064006</v>
      </c>
      <c r="K23" s="75">
        <f>SUM(K21:K22)</f>
        <v>1821.2520805064007</v>
      </c>
      <c r="L23" s="72"/>
      <c r="M23" s="75">
        <f t="shared" si="4"/>
        <v>1608</v>
      </c>
      <c r="N23" s="75">
        <f t="shared" si="4"/>
        <v>3097</v>
      </c>
      <c r="O23" s="76"/>
      <c r="P23" s="74">
        <f t="shared" si="4"/>
        <v>0</v>
      </c>
      <c r="Q23" s="74">
        <f t="shared" si="4"/>
        <v>-364</v>
      </c>
      <c r="R23" s="75">
        <f t="shared" si="4"/>
        <v>-1010</v>
      </c>
      <c r="T23" s="75">
        <f t="shared" si="4"/>
        <v>-3668</v>
      </c>
      <c r="U23" s="75">
        <f t="shared" si="4"/>
        <v>-107.1056</v>
      </c>
    </row>
    <row r="24" spans="1:26" ht="6" customHeight="1">
      <c r="A24" s="47"/>
      <c r="B24" s="47"/>
      <c r="C24" s="77"/>
      <c r="D24" s="76"/>
      <c r="E24" s="77"/>
      <c r="G24" s="78"/>
      <c r="H24" s="72"/>
      <c r="I24" s="77"/>
      <c r="J24" s="77"/>
      <c r="K24" s="78"/>
      <c r="L24" s="72"/>
      <c r="M24" s="78"/>
      <c r="N24" s="78"/>
      <c r="O24" s="76"/>
      <c r="P24" s="77"/>
      <c r="Q24" s="77"/>
      <c r="R24" s="78"/>
      <c r="T24" s="78"/>
      <c r="U24" s="78"/>
    </row>
    <row r="25" spans="1:26">
      <c r="A25" s="47" t="s">
        <v>12</v>
      </c>
      <c r="B25" s="47"/>
      <c r="C25" s="71">
        <f>[3]CAP16!C24</f>
        <v>10091.989742371716</v>
      </c>
      <c r="D25" s="71"/>
      <c r="E25" s="71">
        <f>[3]CAP16!E24</f>
        <v>3308.5251207180991</v>
      </c>
      <c r="F25" s="60">
        <v>3.8100000000000002E-2</v>
      </c>
      <c r="G25" s="72">
        <f>ROUND(C25*F25,0)</f>
        <v>385</v>
      </c>
      <c r="H25" s="72"/>
      <c r="I25" s="73">
        <v>0</v>
      </c>
      <c r="J25" s="73">
        <f>F25*E25</f>
        <v>126.05480709935958</v>
      </c>
      <c r="K25" s="61">
        <f>J25+G25</f>
        <v>511.05480709935955</v>
      </c>
      <c r="L25" s="61"/>
      <c r="M25" s="61">
        <f>ROUND(C25*$M$6,0)</f>
        <v>1441</v>
      </c>
      <c r="N25" s="61">
        <f>ROUND(C25*$N$6,0)</f>
        <v>2472</v>
      </c>
      <c r="O25" s="73"/>
      <c r="P25" s="73"/>
      <c r="Q25" s="73">
        <f>ROUND(((M25-J25)*-0.35)+P25,0)</f>
        <v>-460</v>
      </c>
      <c r="R25" s="61">
        <f>ROUND(((N25-G25)*-0.35)+Q25,0)</f>
        <v>-1190</v>
      </c>
      <c r="T25" s="61">
        <f>-4062</f>
        <v>-4062</v>
      </c>
      <c r="U25" s="61">
        <f t="shared" ref="U25" si="5">T25*F25</f>
        <v>-154.76220000000001</v>
      </c>
    </row>
    <row r="26" spans="1:26">
      <c r="A26" s="47" t="s">
        <v>23</v>
      </c>
      <c r="B26" s="47"/>
      <c r="C26" s="71">
        <f>[3]CAP16!C25</f>
        <v>3715.0138640999999</v>
      </c>
      <c r="D26" s="71"/>
      <c r="E26" s="71">
        <f>[3]CAP16!E25</f>
        <v>1858.0100269469854</v>
      </c>
      <c r="F26" s="60">
        <v>8.9200000000000002E-2</v>
      </c>
      <c r="G26" s="72">
        <f>ROUND(C26*F26,0)</f>
        <v>331</v>
      </c>
      <c r="H26" s="72"/>
      <c r="I26" s="73">
        <v>0</v>
      </c>
      <c r="J26" s="73">
        <f>F26*E26</f>
        <v>165.73449440367111</v>
      </c>
      <c r="K26" s="61">
        <f>J26+G26</f>
        <v>496.73449440367108</v>
      </c>
      <c r="L26" s="61"/>
      <c r="M26" s="61">
        <f>ROUND(C26*$M$5,0)</f>
        <v>139</v>
      </c>
      <c r="N26" s="61">
        <f>ROUND(C26*$N$5,0)</f>
        <v>268</v>
      </c>
      <c r="O26" s="73"/>
      <c r="P26" s="73"/>
      <c r="Q26" s="73">
        <f>ROUND(((M26-J26)*-0.35)+P26,0)</f>
        <v>9</v>
      </c>
      <c r="R26" s="61">
        <f>ROUND(((N26-G26)*-0.35)+Q26,0)</f>
        <v>31</v>
      </c>
      <c r="T26" s="61"/>
      <c r="U26" s="61"/>
    </row>
    <row r="27" spans="1:26">
      <c r="A27" s="47" t="s">
        <v>19</v>
      </c>
      <c r="B27" s="47"/>
      <c r="C27" s="74">
        <f>SUM(C25:C26)</f>
        <v>13807.003606471715</v>
      </c>
      <c r="D27" s="76"/>
      <c r="E27" s="74">
        <f t="shared" ref="E27:U27" si="6">SUM(E25:E26)</f>
        <v>5166.5351476650849</v>
      </c>
      <c r="F27" s="51"/>
      <c r="G27" s="75">
        <f t="shared" si="6"/>
        <v>716</v>
      </c>
      <c r="H27" s="72"/>
      <c r="I27" s="74">
        <f t="shared" si="6"/>
        <v>0</v>
      </c>
      <c r="J27" s="74">
        <f t="shared" si="6"/>
        <v>291.78930150303069</v>
      </c>
      <c r="K27" s="74">
        <f t="shared" si="6"/>
        <v>1007.7893015030306</v>
      </c>
      <c r="L27" s="72"/>
      <c r="M27" s="75">
        <f t="shared" si="6"/>
        <v>1580</v>
      </c>
      <c r="N27" s="75">
        <f t="shared" si="6"/>
        <v>2740</v>
      </c>
      <c r="O27" s="76"/>
      <c r="P27" s="74">
        <f t="shared" si="6"/>
        <v>0</v>
      </c>
      <c r="Q27" s="74">
        <f t="shared" si="6"/>
        <v>-451</v>
      </c>
      <c r="R27" s="75">
        <f t="shared" si="6"/>
        <v>-1159</v>
      </c>
      <c r="T27" s="75">
        <f t="shared" si="6"/>
        <v>-4062</v>
      </c>
      <c r="U27" s="75">
        <f t="shared" si="6"/>
        <v>-154.76220000000001</v>
      </c>
    </row>
    <row r="28" spans="1:26">
      <c r="A28" s="47"/>
      <c r="B28" s="47"/>
      <c r="C28" s="77"/>
      <c r="D28" s="76"/>
      <c r="E28" s="77"/>
      <c r="G28" s="78"/>
      <c r="H28" s="72"/>
      <c r="I28" s="77"/>
      <c r="J28" s="77"/>
      <c r="K28" s="78"/>
      <c r="L28" s="72"/>
      <c r="M28" s="78"/>
      <c r="N28" s="78"/>
      <c r="O28" s="76"/>
      <c r="P28" s="83"/>
      <c r="Q28" s="83"/>
      <c r="R28" s="78"/>
      <c r="T28" s="78"/>
      <c r="U28" s="78"/>
    </row>
    <row r="29" spans="1:26">
      <c r="A29" s="47" t="s">
        <v>115</v>
      </c>
      <c r="B29" s="47"/>
      <c r="C29" s="77">
        <f>[3]CAP16!C28</f>
        <v>4605.6183689967429</v>
      </c>
      <c r="D29" s="76"/>
      <c r="E29" s="77">
        <f>[3]CAP16!E28</f>
        <v>1781.14630988823</v>
      </c>
      <c r="F29" s="60">
        <v>0.2</v>
      </c>
      <c r="G29" s="72">
        <f>ROUND(C29*F29,0)</f>
        <v>921</v>
      </c>
      <c r="H29" s="72"/>
      <c r="I29" s="73">
        <v>0</v>
      </c>
      <c r="J29" s="73">
        <f>F29*E29</f>
        <v>356.22926197764605</v>
      </c>
      <c r="K29" s="61">
        <f>J29+G29</f>
        <v>1277.229261977646</v>
      </c>
      <c r="L29" s="72"/>
      <c r="M29" s="61">
        <f>ROUND(C29*$M$8,0)</f>
        <v>1535</v>
      </c>
      <c r="N29" s="61">
        <f>ROUND(C29*$N$8,0)</f>
        <v>2047</v>
      </c>
      <c r="O29" s="76"/>
      <c r="P29" s="76"/>
      <c r="Q29" s="73">
        <f>ROUND(((M29-J29)*-0.35)+P29,0)</f>
        <v>-413</v>
      </c>
      <c r="R29" s="61">
        <f>ROUND(((N29-G29)*-0.35)+Q29,0)</f>
        <v>-807</v>
      </c>
      <c r="T29" s="61">
        <f>(-4291*0.39)</f>
        <v>-1673.49</v>
      </c>
      <c r="U29" s="61">
        <f t="shared" ref="U29:U30" si="7">T29*F29</f>
        <v>-334.69800000000004</v>
      </c>
    </row>
    <row r="30" spans="1:26">
      <c r="A30" s="47" t="s">
        <v>116</v>
      </c>
      <c r="B30" s="47"/>
      <c r="C30" s="79">
        <f>[3]CAP16!C29</f>
        <v>7203.6595002256754</v>
      </c>
      <c r="D30" s="71"/>
      <c r="E30" s="79">
        <f>[3]CAP16!E29</f>
        <v>2785.8955103380008</v>
      </c>
      <c r="F30" s="60">
        <v>0.23699999999999999</v>
      </c>
      <c r="G30" s="80">
        <f>ROUND(C30*F30,0)</f>
        <v>1707</v>
      </c>
      <c r="H30" s="72"/>
      <c r="I30" s="81">
        <v>0</v>
      </c>
      <c r="J30" s="81">
        <f>F30*E30</f>
        <v>660.25723595010618</v>
      </c>
      <c r="K30" s="82">
        <f>J30+G30</f>
        <v>2367.2572359501064</v>
      </c>
      <c r="L30" s="61"/>
      <c r="M30" s="82">
        <f>ROUND(C30*$M$7,0)</f>
        <v>1441</v>
      </c>
      <c r="N30" s="82">
        <f>ROUND(C30*$N$7,0)</f>
        <v>2305</v>
      </c>
      <c r="O30" s="73"/>
      <c r="P30" s="81"/>
      <c r="Q30" s="81">
        <f>ROUND(((M30-J30)*-0.35)+P30,0)</f>
        <v>-273</v>
      </c>
      <c r="R30" s="82">
        <f>ROUND(((N30-G30)*-0.35)+Q30,0)</f>
        <v>-482</v>
      </c>
      <c r="T30" s="61">
        <f>(-4291*0.61)</f>
        <v>-2617.5099999999998</v>
      </c>
      <c r="U30" s="61">
        <f t="shared" si="7"/>
        <v>-620.3498699999999</v>
      </c>
      <c r="Z30" s="50"/>
    </row>
    <row r="31" spans="1:26">
      <c r="A31" s="47" t="s">
        <v>79</v>
      </c>
      <c r="B31" s="47"/>
      <c r="C31" s="97">
        <f>SUM(C29:C30)</f>
        <v>11809.277869222418</v>
      </c>
      <c r="D31" s="71"/>
      <c r="E31" s="97">
        <f>SUM(E29:E30)</f>
        <v>4567.0418202262308</v>
      </c>
      <c r="F31" s="60"/>
      <c r="G31" s="97">
        <f>SUM(G29:G30)</f>
        <v>2628</v>
      </c>
      <c r="H31" s="72"/>
      <c r="I31" s="97">
        <f t="shared" ref="I31:K31" si="8">SUM(I29:I30)</f>
        <v>0</v>
      </c>
      <c r="J31" s="97">
        <f t="shared" si="8"/>
        <v>1016.4864979277522</v>
      </c>
      <c r="K31" s="97">
        <f t="shared" si="8"/>
        <v>3644.4864979277527</v>
      </c>
      <c r="L31" s="61"/>
      <c r="M31" s="97">
        <f t="shared" ref="M31:N31" si="9">SUM(M29:M30)</f>
        <v>2976</v>
      </c>
      <c r="N31" s="97">
        <f t="shared" si="9"/>
        <v>4352</v>
      </c>
      <c r="O31" s="73"/>
      <c r="P31" s="97">
        <f t="shared" ref="P31:U31" si="10">SUM(P29:P30)</f>
        <v>0</v>
      </c>
      <c r="Q31" s="97">
        <f t="shared" si="10"/>
        <v>-686</v>
      </c>
      <c r="R31" s="97">
        <f t="shared" si="10"/>
        <v>-1289</v>
      </c>
      <c r="T31" s="97">
        <f t="shared" si="10"/>
        <v>-4291</v>
      </c>
      <c r="U31" s="97">
        <f t="shared" si="10"/>
        <v>-955.04786999999988</v>
      </c>
      <c r="Z31" s="50"/>
    </row>
    <row r="32" spans="1:26">
      <c r="A32" s="47"/>
      <c r="B32" s="47"/>
      <c r="C32" s="77"/>
      <c r="D32" s="76"/>
      <c r="E32" s="77"/>
      <c r="F32" s="60"/>
      <c r="G32" s="78"/>
      <c r="H32" s="72"/>
      <c r="I32" s="77"/>
      <c r="J32" s="77"/>
      <c r="K32" s="78"/>
      <c r="L32" s="72"/>
      <c r="M32" s="78"/>
      <c r="N32" s="78"/>
      <c r="O32" s="76"/>
      <c r="P32" s="77"/>
      <c r="Q32" s="77"/>
      <c r="R32" s="78"/>
      <c r="T32" s="78"/>
      <c r="Z32" s="50"/>
    </row>
    <row r="33" spans="1:27" s="88" customFormat="1" ht="13.5" thickBot="1">
      <c r="A33" s="84" t="s">
        <v>25</v>
      </c>
      <c r="B33" s="84"/>
      <c r="C33" s="85">
        <f>SUM(C16,C18,C23,C27,C31)</f>
        <v>147722.21371526708</v>
      </c>
      <c r="D33" s="87"/>
      <c r="E33" s="85">
        <f>SUM(E16,E18,E23,E27,E31)</f>
        <v>48889.376671809143</v>
      </c>
      <c r="F33" s="48"/>
      <c r="G33" s="85">
        <f>SUM(G16,G18,G23,G27,G31)</f>
        <v>6103</v>
      </c>
      <c r="H33" s="86"/>
      <c r="I33" s="85">
        <f t="shared" ref="I33:K33" si="11">SUM(I16,I18,I23,I27,I31)</f>
        <v>0</v>
      </c>
      <c r="J33" s="85">
        <f t="shared" si="11"/>
        <v>2261.0691464048336</v>
      </c>
      <c r="K33" s="85">
        <f t="shared" si="11"/>
        <v>8364.0691464048341</v>
      </c>
      <c r="L33" s="86"/>
      <c r="M33" s="85">
        <f t="shared" ref="M33:N33" si="12">SUM(M16,M18,M23,M27,M31)</f>
        <v>9134</v>
      </c>
      <c r="N33" s="85">
        <f t="shared" si="12"/>
        <v>15907</v>
      </c>
      <c r="O33" s="87"/>
      <c r="P33" s="85">
        <f t="shared" ref="P33:U33" si="13">SUM(P16,P18,P23,P27,P31)</f>
        <v>0</v>
      </c>
      <c r="Q33" s="85">
        <f t="shared" si="13"/>
        <v>-2407</v>
      </c>
      <c r="R33" s="85">
        <f t="shared" si="13"/>
        <v>-5839</v>
      </c>
      <c r="T33" s="85">
        <f t="shared" si="13"/>
        <v>-19045</v>
      </c>
      <c r="U33" s="85">
        <f t="shared" si="13"/>
        <v>-1350.20517</v>
      </c>
      <c r="Z33" s="147"/>
    </row>
    <row r="34" spans="1:27" s="88" customFormat="1">
      <c r="A34" s="84"/>
      <c r="B34" s="84"/>
      <c r="C34" s="146" t="s">
        <v>117</v>
      </c>
      <c r="D34" s="147"/>
      <c r="E34" s="146" t="s">
        <v>117</v>
      </c>
      <c r="F34" s="52"/>
      <c r="G34" s="91"/>
      <c r="H34" s="86"/>
      <c r="I34" s="89"/>
      <c r="J34" s="146" t="s">
        <v>117</v>
      </c>
      <c r="K34" s="91"/>
      <c r="L34" s="86"/>
      <c r="M34" s="146" t="s">
        <v>117</v>
      </c>
      <c r="N34" s="91"/>
      <c r="O34" s="87"/>
      <c r="P34" s="89"/>
      <c r="Q34" s="146" t="s">
        <v>117</v>
      </c>
      <c r="R34" s="91"/>
      <c r="T34" s="146" t="s">
        <v>117</v>
      </c>
      <c r="Z34" s="149"/>
      <c r="AA34" s="91"/>
    </row>
    <row r="35" spans="1:27">
      <c r="C35" s="77"/>
      <c r="D35" s="76"/>
      <c r="E35" s="77"/>
      <c r="F35" s="90"/>
      <c r="G35" s="78"/>
      <c r="H35" s="72"/>
      <c r="I35" s="77"/>
      <c r="J35" s="77"/>
      <c r="K35" s="78"/>
      <c r="L35" s="72"/>
      <c r="M35" s="78"/>
      <c r="N35" s="78"/>
      <c r="O35" s="76"/>
      <c r="P35" s="77"/>
      <c r="Q35" s="77"/>
      <c r="R35" s="78"/>
      <c r="T35" s="78"/>
      <c r="Z35" s="50"/>
    </row>
    <row r="36" spans="1:27">
      <c r="A36" s="49" t="s">
        <v>26</v>
      </c>
      <c r="C36" s="79">
        <f>[3]CAP16!C36</f>
        <v>666.31770749999998</v>
      </c>
      <c r="D36" s="71"/>
      <c r="E36" s="79">
        <f>[3]CAP16!E36</f>
        <v>333.15762507905004</v>
      </c>
      <c r="F36" s="48">
        <v>1.5900000000000001E-2</v>
      </c>
      <c r="G36" s="80">
        <f>ROUND(C36*F36,0)</f>
        <v>11</v>
      </c>
      <c r="H36" s="72"/>
      <c r="I36" s="81">
        <v>0</v>
      </c>
      <c r="J36" s="81">
        <f>F36*E36</f>
        <v>5.2972062387568961</v>
      </c>
      <c r="K36" s="82">
        <f>J36+G36</f>
        <v>16.297206238756896</v>
      </c>
      <c r="L36" s="61"/>
      <c r="M36" s="82">
        <f>ROUND(C36*$M$5,0)</f>
        <v>25</v>
      </c>
      <c r="N36" s="82">
        <f>ROUND(C36*$N$5,0)</f>
        <v>48</v>
      </c>
      <c r="O36" s="73"/>
      <c r="P36" s="81"/>
      <c r="Q36" s="81">
        <f>ROUND(((M36-J36)*-0.35)+P36,0)</f>
        <v>-7</v>
      </c>
      <c r="R36" s="82">
        <f>ROUND(((N36-G36)*-0.35)+Q36,0)</f>
        <v>-20</v>
      </c>
      <c r="T36" s="82"/>
      <c r="U36" s="153"/>
      <c r="Z36" s="50"/>
    </row>
    <row r="37" spans="1:27" ht="6" customHeight="1">
      <c r="C37" s="77"/>
      <c r="D37" s="76"/>
      <c r="E37" s="77"/>
      <c r="F37" s="60"/>
      <c r="G37" s="78"/>
      <c r="H37" s="72"/>
      <c r="I37" s="77"/>
      <c r="J37" s="77"/>
      <c r="K37" s="78"/>
      <c r="L37" s="72"/>
      <c r="M37" s="78"/>
      <c r="N37" s="78"/>
      <c r="O37" s="76"/>
      <c r="P37" s="77"/>
      <c r="Q37" s="77"/>
      <c r="R37" s="78"/>
      <c r="T37" s="78"/>
      <c r="Z37" s="50"/>
    </row>
    <row r="38" spans="1:27">
      <c r="A38" s="49" t="s">
        <v>11</v>
      </c>
      <c r="C38" s="77"/>
      <c r="D38" s="76"/>
      <c r="E38" s="77"/>
      <c r="G38" s="78"/>
      <c r="H38" s="72"/>
      <c r="I38" s="77"/>
      <c r="J38" s="77"/>
      <c r="K38" s="78"/>
      <c r="L38" s="72"/>
      <c r="M38" s="78"/>
      <c r="N38" s="78"/>
      <c r="O38" s="76"/>
      <c r="P38" s="77"/>
      <c r="Q38" s="77"/>
      <c r="R38" s="78"/>
      <c r="T38" s="78"/>
      <c r="Z38" s="50"/>
    </row>
    <row r="39" spans="1:27">
      <c r="A39" s="49" t="s">
        <v>21</v>
      </c>
      <c r="C39" s="71">
        <f>[3]CAP16!C39</f>
        <v>0</v>
      </c>
      <c r="D39" s="71"/>
      <c r="E39" s="71">
        <f>[3]CAP16!E39</f>
        <v>0</v>
      </c>
      <c r="F39" s="60">
        <v>2.52E-2</v>
      </c>
      <c r="G39" s="72">
        <f>ROUND(C39*F39,0)</f>
        <v>0</v>
      </c>
      <c r="H39" s="72"/>
      <c r="I39" s="73">
        <v>0</v>
      </c>
      <c r="J39" s="73">
        <f>F39*E39</f>
        <v>0</v>
      </c>
      <c r="K39" s="61">
        <f>J39+G39</f>
        <v>0</v>
      </c>
      <c r="L39" s="61"/>
      <c r="M39" s="61">
        <f>ROUND(C39*$M$5,0)</f>
        <v>0</v>
      </c>
      <c r="N39" s="61">
        <f>ROUND(C39*$N$5,0)</f>
        <v>0</v>
      </c>
      <c r="O39" s="73"/>
      <c r="P39" s="73"/>
      <c r="Q39" s="73">
        <f>ROUND((((M39-J39)/2)*-0.35)+P39,0)</f>
        <v>0</v>
      </c>
      <c r="R39" s="61">
        <f>ROUND(((N39-G39)*-0.35)+Q39,0)</f>
        <v>0</v>
      </c>
      <c r="T39" s="61">
        <f>-2427</f>
        <v>-2427</v>
      </c>
      <c r="U39" s="61">
        <f t="shared" ref="U39" si="14">T39*F39</f>
        <v>-61.160400000000003</v>
      </c>
      <c r="Z39" s="50"/>
    </row>
    <row r="40" spans="1:27">
      <c r="A40" s="49" t="s">
        <v>27</v>
      </c>
      <c r="C40" s="71">
        <f>[3]CAP16!C40</f>
        <v>19418.870119876527</v>
      </c>
      <c r="D40" s="71"/>
      <c r="E40" s="71">
        <f>[3]CAP16!E40</f>
        <v>8268.3357777981182</v>
      </c>
      <c r="F40" s="60">
        <v>2.52E-2</v>
      </c>
      <c r="G40" s="72">
        <f>ROUND(C40*F40,0)</f>
        <v>489</v>
      </c>
      <c r="H40" s="72"/>
      <c r="I40" s="73">
        <v>0</v>
      </c>
      <c r="J40" s="73">
        <f>F40*E40</f>
        <v>208.36206160051259</v>
      </c>
      <c r="K40" s="61">
        <f>J40+G40</f>
        <v>697.36206160051256</v>
      </c>
      <c r="L40" s="61"/>
      <c r="M40" s="61">
        <f>ROUND(C40*$M$5,0)</f>
        <v>728</v>
      </c>
      <c r="N40" s="61">
        <f>ROUND(C40*$N$5,0)</f>
        <v>1402</v>
      </c>
      <c r="O40" s="73"/>
      <c r="P40" s="73"/>
      <c r="Q40" s="73">
        <f>ROUND(((M40-J40)*-0.35)+P40,0)</f>
        <v>-182</v>
      </c>
      <c r="R40" s="61">
        <f>ROUND(((N40-G40)*-0.35)+Q40,0)</f>
        <v>-502</v>
      </c>
      <c r="T40" s="61"/>
      <c r="U40" s="61"/>
      <c r="Z40" s="50"/>
    </row>
    <row r="41" spans="1:27">
      <c r="A41" s="49" t="s">
        <v>22</v>
      </c>
      <c r="C41" s="71">
        <f>[3]CAP16!C41</f>
        <v>281.08</v>
      </c>
      <c r="D41" s="71"/>
      <c r="E41" s="71">
        <f>[3]CAP16!E41</f>
        <v>133.11000155000002</v>
      </c>
      <c r="F41" s="60">
        <v>2.52E-2</v>
      </c>
      <c r="G41" s="72">
        <f>ROUND(C41*F41,0)</f>
        <v>7</v>
      </c>
      <c r="H41" s="72"/>
      <c r="I41" s="73">
        <v>0</v>
      </c>
      <c r="J41" s="73">
        <f>F41*E41</f>
        <v>3.3543720390600007</v>
      </c>
      <c r="K41" s="61">
        <f>J41+G41</f>
        <v>10.354372039060001</v>
      </c>
      <c r="L41" s="61"/>
      <c r="M41" s="61">
        <f>ROUND(C41*$M$5,0)</f>
        <v>11</v>
      </c>
      <c r="N41" s="61">
        <f>ROUND(C41*$N$5,0)</f>
        <v>20</v>
      </c>
      <c r="O41" s="73"/>
      <c r="P41" s="73"/>
      <c r="Q41" s="73">
        <f>ROUND(((M41-J41)*-0.35)+P41,0)</f>
        <v>-3</v>
      </c>
      <c r="R41" s="61">
        <f>ROUND(((N41-G41)*-0.35)+Q41,0)</f>
        <v>-8</v>
      </c>
      <c r="T41" s="61"/>
      <c r="U41" s="61"/>
      <c r="Z41" s="50"/>
    </row>
    <row r="42" spans="1:27">
      <c r="A42" s="49" t="s">
        <v>19</v>
      </c>
      <c r="C42" s="74">
        <f>SUM(C39:C41)</f>
        <v>19699.950119876528</v>
      </c>
      <c r="D42" s="76"/>
      <c r="E42" s="74">
        <f>SUM(E39:E41)</f>
        <v>8401.4457793481179</v>
      </c>
      <c r="F42" s="60"/>
      <c r="G42" s="75">
        <f t="shared" ref="G42:U42" si="15">SUM(G39:G41)</f>
        <v>496</v>
      </c>
      <c r="H42" s="72"/>
      <c r="I42" s="74">
        <f t="shared" si="15"/>
        <v>0</v>
      </c>
      <c r="J42" s="74">
        <f t="shared" si="15"/>
        <v>211.71643363957259</v>
      </c>
      <c r="K42" s="75">
        <f t="shared" si="15"/>
        <v>707.71643363957253</v>
      </c>
      <c r="L42" s="72"/>
      <c r="M42" s="75">
        <f t="shared" si="15"/>
        <v>739</v>
      </c>
      <c r="N42" s="75">
        <f t="shared" si="15"/>
        <v>1422</v>
      </c>
      <c r="O42" s="76"/>
      <c r="P42" s="74">
        <f t="shared" si="15"/>
        <v>0</v>
      </c>
      <c r="Q42" s="74">
        <f t="shared" si="15"/>
        <v>-185</v>
      </c>
      <c r="R42" s="75">
        <f t="shared" si="15"/>
        <v>-510</v>
      </c>
      <c r="T42" s="75">
        <f t="shared" si="15"/>
        <v>-2427</v>
      </c>
      <c r="U42" s="75">
        <f t="shared" si="15"/>
        <v>-61.160400000000003</v>
      </c>
      <c r="Z42" s="50"/>
    </row>
    <row r="43" spans="1:27" ht="7.5" customHeight="1">
      <c r="C43" s="77"/>
      <c r="D43" s="76"/>
      <c r="E43" s="77"/>
      <c r="F43" s="51"/>
      <c r="G43" s="78"/>
      <c r="H43" s="72"/>
      <c r="I43" s="77"/>
      <c r="J43" s="77"/>
      <c r="K43" s="78"/>
      <c r="L43" s="72"/>
      <c r="M43" s="78"/>
      <c r="N43" s="78"/>
      <c r="O43" s="76"/>
      <c r="P43" s="77"/>
      <c r="Q43" s="77"/>
      <c r="R43" s="78"/>
      <c r="T43" s="78"/>
      <c r="U43" s="78"/>
      <c r="Z43" s="50"/>
    </row>
    <row r="44" spans="1:27">
      <c r="A44" s="49" t="s">
        <v>12</v>
      </c>
      <c r="C44" s="71">
        <f>[3]CAP16!C44</f>
        <v>2908.4314373780262</v>
      </c>
      <c r="D44" s="71"/>
      <c r="E44" s="71">
        <f>[3]CAP16!E44</f>
        <v>975.7132713210417</v>
      </c>
      <c r="F44" s="60">
        <v>3.6200000000000003E-2</v>
      </c>
      <c r="G44" s="72">
        <f>ROUND(C44*F44,0)</f>
        <v>105</v>
      </c>
      <c r="H44" s="72"/>
      <c r="I44" s="73">
        <v>0</v>
      </c>
      <c r="J44" s="73">
        <f>F44*E44</f>
        <v>35.320820421821715</v>
      </c>
      <c r="K44" s="61">
        <f>J44+G44</f>
        <v>140.32082042182171</v>
      </c>
      <c r="L44" s="61"/>
      <c r="M44" s="61">
        <f>ROUND(C44*$M$6,0)</f>
        <v>415</v>
      </c>
      <c r="N44" s="61">
        <f>ROUND(C44*$N$6,0)</f>
        <v>712</v>
      </c>
      <c r="O44" s="73"/>
      <c r="P44" s="73"/>
      <c r="Q44" s="73">
        <f>ROUND(((M44-J44)*-0.35)+P44,0)</f>
        <v>-133</v>
      </c>
      <c r="R44" s="61">
        <f>ROUND(((N44-G44)*-0.35)+Q44,0)</f>
        <v>-345</v>
      </c>
      <c r="T44" s="61">
        <f>-1217</f>
        <v>-1217</v>
      </c>
      <c r="U44" s="61">
        <f t="shared" ref="U44" si="16">T44*F44</f>
        <v>-44.055400000000006</v>
      </c>
      <c r="Z44" s="50"/>
    </row>
    <row r="45" spans="1:27">
      <c r="A45" s="49" t="s">
        <v>23</v>
      </c>
      <c r="C45" s="71">
        <f>[3]CAP16!C45</f>
        <v>1101.7553239000001</v>
      </c>
      <c r="D45" s="71"/>
      <c r="E45" s="71">
        <f>[3]CAP16!E45</f>
        <v>551.02686394532418</v>
      </c>
      <c r="F45" s="60">
        <v>8.9200000000000002E-2</v>
      </c>
      <c r="G45" s="72">
        <f>ROUND(C45*F45,0)</f>
        <v>98</v>
      </c>
      <c r="H45" s="72"/>
      <c r="I45" s="73">
        <v>0</v>
      </c>
      <c r="J45" s="73">
        <f>F45*E45</f>
        <v>49.151596263922919</v>
      </c>
      <c r="K45" s="61">
        <f>J45+G45</f>
        <v>147.15159626392293</v>
      </c>
      <c r="L45" s="61"/>
      <c r="M45" s="61">
        <f>ROUND(C45*$M$7,0)</f>
        <v>220</v>
      </c>
      <c r="N45" s="61">
        <f>ROUND(C45*$N$7,0)</f>
        <v>353</v>
      </c>
      <c r="O45" s="73"/>
      <c r="P45" s="73"/>
      <c r="Q45" s="73">
        <f>ROUND(((M45-J45)*-0.35)+P45,0)</f>
        <v>-60</v>
      </c>
      <c r="R45" s="61">
        <f>ROUND(((N45-G45)*-0.35)+Q45,0)</f>
        <v>-149</v>
      </c>
      <c r="T45" s="61"/>
      <c r="U45" s="61"/>
      <c r="Z45" s="50"/>
    </row>
    <row r="46" spans="1:27">
      <c r="A46" s="49" t="s">
        <v>19</v>
      </c>
      <c r="C46" s="74">
        <f>SUM(C44:C45)</f>
        <v>4010.1867612780261</v>
      </c>
      <c r="D46" s="76"/>
      <c r="E46" s="74">
        <f>SUM(E44:E45)</f>
        <v>1526.740135266366</v>
      </c>
      <c r="F46" s="60"/>
      <c r="G46" s="75">
        <f t="shared" ref="G46:U46" si="17">SUM(G44:G45)</f>
        <v>203</v>
      </c>
      <c r="H46" s="72"/>
      <c r="I46" s="74">
        <f t="shared" si="17"/>
        <v>0</v>
      </c>
      <c r="J46" s="74">
        <f t="shared" si="17"/>
        <v>84.472416685744633</v>
      </c>
      <c r="K46" s="74">
        <f t="shared" si="17"/>
        <v>287.47241668574463</v>
      </c>
      <c r="L46" s="72"/>
      <c r="M46" s="75">
        <f t="shared" si="17"/>
        <v>635</v>
      </c>
      <c r="N46" s="75">
        <f t="shared" si="17"/>
        <v>1065</v>
      </c>
      <c r="O46" s="76"/>
      <c r="P46" s="74">
        <f t="shared" si="17"/>
        <v>0</v>
      </c>
      <c r="Q46" s="74">
        <f t="shared" si="17"/>
        <v>-193</v>
      </c>
      <c r="R46" s="75">
        <f t="shared" si="17"/>
        <v>-494</v>
      </c>
      <c r="T46" s="75">
        <f t="shared" si="17"/>
        <v>-1217</v>
      </c>
      <c r="U46" s="75">
        <f t="shared" si="17"/>
        <v>-44.055400000000006</v>
      </c>
      <c r="Z46" s="50"/>
    </row>
    <row r="47" spans="1:27" ht="6" customHeight="1">
      <c r="C47" s="77"/>
      <c r="D47" s="76"/>
      <c r="E47" s="77"/>
      <c r="F47" s="76"/>
      <c r="G47" s="78"/>
      <c r="H47" s="72"/>
      <c r="I47" s="77"/>
      <c r="J47" s="77"/>
      <c r="K47" s="78"/>
      <c r="L47" s="72"/>
      <c r="M47" s="92"/>
      <c r="N47" s="78"/>
      <c r="O47" s="76"/>
      <c r="P47" s="77"/>
      <c r="Q47" s="77"/>
      <c r="R47" s="78"/>
      <c r="T47" s="78"/>
      <c r="U47" s="78"/>
      <c r="Z47" s="50"/>
    </row>
    <row r="48" spans="1:27">
      <c r="A48" s="47" t="s">
        <v>115</v>
      </c>
      <c r="C48" s="77">
        <f>[3]CAP16!C48</f>
        <v>1365.8803825549355</v>
      </c>
      <c r="D48" s="76"/>
      <c r="E48" s="77">
        <f>[3]CAP16!E48</f>
        <v>528.23152250593421</v>
      </c>
      <c r="F48" s="60">
        <v>0.2</v>
      </c>
      <c r="G48" s="72">
        <f>ROUND(C48*F48,0)</f>
        <v>273</v>
      </c>
      <c r="H48" s="72"/>
      <c r="I48" s="73">
        <v>0</v>
      </c>
      <c r="J48" s="73">
        <f>F48*E48</f>
        <v>105.64630450118685</v>
      </c>
      <c r="K48" s="61">
        <f>J48+G48</f>
        <v>378.64630450118682</v>
      </c>
      <c r="L48" s="72"/>
      <c r="M48" s="61">
        <f>ROUND(C48*$M$8,0)</f>
        <v>455</v>
      </c>
      <c r="N48" s="61">
        <f>ROUND(C48*$N$8,0)</f>
        <v>607</v>
      </c>
      <c r="O48" s="76"/>
      <c r="P48" s="73"/>
      <c r="Q48" s="73">
        <f>ROUND(((M48-J48)*-0.35)+P48,0)</f>
        <v>-122</v>
      </c>
      <c r="R48" s="61">
        <f>ROUND(((N48-G48)*-0.35)+Q48,0)</f>
        <v>-239</v>
      </c>
      <c r="T48" s="61">
        <f>(-1286*0.39)</f>
        <v>-501.54</v>
      </c>
      <c r="U48" s="61">
        <f t="shared" ref="U48:U49" si="18">T48*F48</f>
        <v>-100.30800000000001</v>
      </c>
      <c r="Z48" s="50"/>
    </row>
    <row r="49" spans="1:26">
      <c r="A49" s="47" t="s">
        <v>116</v>
      </c>
      <c r="C49" s="79">
        <f>[3]CAP16!C49</f>
        <v>2136.3770086115655</v>
      </c>
      <c r="D49" s="71"/>
      <c r="E49" s="79">
        <f>[3]CAP16!E49</f>
        <v>826.20827879133299</v>
      </c>
      <c r="F49" s="60">
        <v>0.23699999999999999</v>
      </c>
      <c r="G49" s="80">
        <f>ROUND(C49*F49,0)</f>
        <v>506</v>
      </c>
      <c r="H49" s="72"/>
      <c r="I49" s="81">
        <v>0</v>
      </c>
      <c r="J49" s="81">
        <f>F49*E49</f>
        <v>195.81136207354592</v>
      </c>
      <c r="K49" s="82">
        <f>J49+G49</f>
        <v>701.81136207354598</v>
      </c>
      <c r="L49" s="61"/>
      <c r="M49" s="82">
        <f>ROUND(C49*$M$7,0)</f>
        <v>427</v>
      </c>
      <c r="N49" s="82">
        <f>ROUND(C49*$N$7,0)</f>
        <v>684</v>
      </c>
      <c r="O49" s="73"/>
      <c r="P49" s="81"/>
      <c r="Q49" s="81">
        <f>ROUND(((M49-J49)*-0.35)+P49,0)</f>
        <v>-81</v>
      </c>
      <c r="R49" s="82">
        <f>ROUND(((N49-G49)*-0.35)+Q49,0)</f>
        <v>-143</v>
      </c>
      <c r="T49" s="61">
        <f>(-1286*0.61)</f>
        <v>-784.46</v>
      </c>
      <c r="U49" s="82">
        <f t="shared" si="18"/>
        <v>-185.91702000000001</v>
      </c>
      <c r="Z49" s="50"/>
    </row>
    <row r="50" spans="1:26">
      <c r="A50" s="49" t="s">
        <v>79</v>
      </c>
      <c r="C50" s="97">
        <f>SUM(C48:C49)</f>
        <v>3502.2573911665013</v>
      </c>
      <c r="D50" s="71"/>
      <c r="E50" s="97">
        <f>SUM(E48:E49)</f>
        <v>1354.4398012972672</v>
      </c>
      <c r="F50" s="60"/>
      <c r="G50" s="97">
        <f>SUM(G48:G49)</f>
        <v>779</v>
      </c>
      <c r="H50" s="72"/>
      <c r="I50" s="97">
        <f t="shared" ref="I50:K50" si="19">SUM(I48:I49)</f>
        <v>0</v>
      </c>
      <c r="J50" s="97">
        <f t="shared" si="19"/>
        <v>301.4576665747328</v>
      </c>
      <c r="K50" s="97">
        <f t="shared" si="19"/>
        <v>1080.4576665747327</v>
      </c>
      <c r="L50" s="61"/>
      <c r="M50" s="97">
        <f t="shared" ref="M50:N50" si="20">SUM(M48:M49)</f>
        <v>882</v>
      </c>
      <c r="N50" s="97">
        <f t="shared" si="20"/>
        <v>1291</v>
      </c>
      <c r="O50" s="73"/>
      <c r="P50" s="97">
        <f t="shared" ref="P50:U50" si="21">SUM(P48:P49)</f>
        <v>0</v>
      </c>
      <c r="Q50" s="97">
        <f t="shared" si="21"/>
        <v>-203</v>
      </c>
      <c r="R50" s="97">
        <f t="shared" si="21"/>
        <v>-382</v>
      </c>
      <c r="T50" s="97">
        <f t="shared" si="21"/>
        <v>-1286</v>
      </c>
      <c r="U50" s="97">
        <f t="shared" si="21"/>
        <v>-286.22502000000003</v>
      </c>
      <c r="Z50" s="50"/>
    </row>
    <row r="51" spans="1:26">
      <c r="C51" s="77"/>
      <c r="D51" s="76"/>
      <c r="E51" s="77"/>
      <c r="F51" s="60"/>
      <c r="G51" s="78"/>
      <c r="H51" s="72"/>
      <c r="I51" s="77"/>
      <c r="J51" s="77"/>
      <c r="K51" s="78"/>
      <c r="L51" s="72"/>
      <c r="M51" s="78"/>
      <c r="N51" s="78"/>
      <c r="O51" s="76"/>
      <c r="P51" s="77"/>
      <c r="Q51" s="77"/>
      <c r="R51" s="78"/>
      <c r="T51" s="78"/>
      <c r="U51" s="78"/>
      <c r="Z51" s="50"/>
    </row>
    <row r="52" spans="1:26" s="88" customFormat="1" ht="13.5" thickBot="1">
      <c r="A52" s="88" t="s">
        <v>28</v>
      </c>
      <c r="C52" s="93">
        <f>SUM(C36,C42,C46,C50,)</f>
        <v>27878.711979821055</v>
      </c>
      <c r="D52" s="86"/>
      <c r="E52" s="93">
        <f>SUM(E36,E42,E46,E50,)</f>
        <v>11615.7833409908</v>
      </c>
      <c r="F52" s="60"/>
      <c r="G52" s="93">
        <f>SUM(G36,G42,G46,G50,)</f>
        <v>1489</v>
      </c>
      <c r="H52" s="86"/>
      <c r="I52" s="93">
        <f t="shared" ref="I52:K52" si="22">SUM(I36,I42,I46,I50,)</f>
        <v>0</v>
      </c>
      <c r="J52" s="93">
        <f t="shared" si="22"/>
        <v>602.94372313880694</v>
      </c>
      <c r="K52" s="93">
        <f t="shared" si="22"/>
        <v>2091.9437231388065</v>
      </c>
      <c r="L52" s="86"/>
      <c r="M52" s="93">
        <f t="shared" ref="M52:N52" si="23">SUM(M36,M42,M46,M50,)</f>
        <v>2281</v>
      </c>
      <c r="N52" s="93">
        <f t="shared" si="23"/>
        <v>3826</v>
      </c>
      <c r="O52" s="87"/>
      <c r="P52" s="93">
        <f t="shared" ref="P52:U52" si="24">SUM(P36,P42,P46,P50,)</f>
        <v>0</v>
      </c>
      <c r="Q52" s="93">
        <f t="shared" si="24"/>
        <v>-588</v>
      </c>
      <c r="R52" s="93">
        <f t="shared" si="24"/>
        <v>-1406</v>
      </c>
      <c r="T52" s="93">
        <f t="shared" si="24"/>
        <v>-4930</v>
      </c>
      <c r="U52" s="93">
        <f t="shared" si="24"/>
        <v>-391.44082000000003</v>
      </c>
      <c r="Z52" s="147"/>
    </row>
    <row r="53" spans="1:26">
      <c r="C53" s="146" t="s">
        <v>118</v>
      </c>
      <c r="E53" s="146" t="s">
        <v>118</v>
      </c>
      <c r="J53" s="146" t="s">
        <v>118</v>
      </c>
      <c r="M53" s="146" t="s">
        <v>118</v>
      </c>
      <c r="Q53" s="146" t="s">
        <v>118</v>
      </c>
      <c r="T53" s="146" t="s">
        <v>118</v>
      </c>
      <c r="Z53" s="149"/>
    </row>
    <row r="54" spans="1:26">
      <c r="J54" s="94"/>
      <c r="Z54" s="50"/>
    </row>
    <row r="55" spans="1:26">
      <c r="C55" s="94"/>
      <c r="D55" s="145"/>
      <c r="E55" s="94"/>
      <c r="J55" s="94"/>
    </row>
    <row r="56" spans="1:26">
      <c r="J56" s="94"/>
    </row>
    <row r="57" spans="1:26">
      <c r="J57" s="94"/>
    </row>
  </sheetData>
  <mergeCells count="4">
    <mergeCell ref="I10:K10"/>
    <mergeCell ref="M10:N10"/>
    <mergeCell ref="P10:R10"/>
    <mergeCell ref="T10:U10"/>
  </mergeCells>
  <pageMargins left="0.25" right="0" top="0.25" bottom="0.5" header="0" footer="0"/>
  <pageSetup scale="65" orientation="landscape" r:id="rId1"/>
  <headerFooter scaleWithDoc="0" alignWithMargins="0">
    <oddFooter>&amp;L&amp;A
&amp;RPage &amp;P of &amp;N
KKS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6"/>
  <sheetViews>
    <sheetView topLeftCell="A7" workbookViewId="0">
      <selection activeCell="A47" sqref="A47"/>
    </sheetView>
  </sheetViews>
  <sheetFormatPr defaultRowHeight="12.75"/>
  <cols>
    <col min="1" max="1" width="21.28515625" style="49" bestFit="1" customWidth="1"/>
    <col min="2" max="2" width="11.5703125" style="49" customWidth="1"/>
    <col min="3" max="3" width="9.85546875" style="47" bestFit="1" customWidth="1"/>
    <col min="4" max="4" width="9.85546875" style="51" customWidth="1"/>
    <col min="5" max="5" width="10.140625" style="47" bestFit="1" customWidth="1"/>
    <col min="6" max="6" width="10.7109375" style="48" bestFit="1" customWidth="1"/>
    <col min="7" max="7" width="16" style="49" customWidth="1"/>
    <col min="8" max="8" width="2.7109375" style="50" customWidth="1"/>
    <col min="9" max="9" width="9.85546875" style="47" customWidth="1"/>
    <col min="10" max="10" width="8.7109375" style="47" bestFit="1" customWidth="1"/>
    <col min="11" max="11" width="8.7109375" style="49" bestFit="1" customWidth="1"/>
    <col min="12" max="12" width="2.7109375" style="50" customWidth="1"/>
    <col min="13" max="13" width="12.28515625" style="49" bestFit="1" customWidth="1"/>
    <col min="14" max="14" width="11.85546875" style="49" bestFit="1" customWidth="1"/>
    <col min="15" max="15" width="2.7109375" style="51" customWidth="1"/>
    <col min="16" max="17" width="8.7109375" style="47" bestFit="1" customWidth="1"/>
    <col min="18" max="18" width="8.7109375" style="49" bestFit="1" customWidth="1"/>
    <col min="19" max="19" width="2.7109375" style="49" customWidth="1"/>
    <col min="20" max="20" width="12.85546875" style="47" customWidth="1"/>
    <col min="21" max="21" width="9.140625" style="47"/>
    <col min="22" max="16384" width="9.140625" style="49"/>
  </cols>
  <sheetData>
    <row r="1" spans="1:21">
      <c r="A1" s="46" t="s">
        <v>121</v>
      </c>
      <c r="B1" s="46"/>
    </row>
    <row r="2" spans="1:21">
      <c r="A2" s="52" t="str">
        <f>[3]CAP16!A2</f>
        <v>Test Year Ended September 30, 2014 Ratebase Adjusted to 12/31/16 AMA</v>
      </c>
      <c r="B2" s="52"/>
    </row>
    <row r="3" spans="1:21" s="57" customFormat="1" ht="25.5">
      <c r="A3" s="53"/>
      <c r="B3" s="53"/>
      <c r="C3" s="54"/>
      <c r="D3" s="54"/>
      <c r="E3" s="53"/>
      <c r="F3" s="55"/>
      <c r="G3" s="56" t="s">
        <v>32</v>
      </c>
      <c r="H3" s="56"/>
      <c r="I3" s="53"/>
      <c r="J3" s="53"/>
      <c r="M3" s="58" t="s">
        <v>0</v>
      </c>
      <c r="N3" s="58" t="s">
        <v>1</v>
      </c>
      <c r="O3" s="59"/>
      <c r="P3" s="53"/>
      <c r="Q3" s="53"/>
      <c r="T3" s="53"/>
      <c r="U3" s="53"/>
    </row>
    <row r="4" spans="1:21" s="50" customFormat="1">
      <c r="A4" s="51"/>
      <c r="B4" s="51"/>
      <c r="C4" s="52"/>
      <c r="D4" s="52"/>
      <c r="E4" s="51"/>
      <c r="F4" s="60"/>
      <c r="G4" s="61" t="s">
        <v>33</v>
      </c>
      <c r="H4" s="61"/>
      <c r="I4" s="51"/>
      <c r="J4" s="51"/>
      <c r="M4" s="62">
        <v>3.7499999999999999E-2</v>
      </c>
      <c r="N4" s="62">
        <v>7.2190000000000004E-2</v>
      </c>
      <c r="O4" s="63"/>
      <c r="P4" s="51"/>
      <c r="Q4" s="51"/>
      <c r="T4" s="51"/>
      <c r="U4" s="51"/>
    </row>
    <row r="5" spans="1:21" s="50" customFormat="1">
      <c r="A5" s="52"/>
      <c r="B5" s="52"/>
      <c r="C5" s="52"/>
      <c r="D5" s="52"/>
      <c r="E5" s="51"/>
      <c r="F5" s="60"/>
      <c r="G5" s="61" t="s">
        <v>13</v>
      </c>
      <c r="H5" s="61"/>
      <c r="I5" s="51"/>
      <c r="J5" s="51"/>
      <c r="M5" s="64">
        <v>0.14280000000000001</v>
      </c>
      <c r="N5" s="64">
        <v>0.24490000000000001</v>
      </c>
      <c r="O5" s="65"/>
      <c r="P5" s="51"/>
      <c r="Q5" s="51"/>
      <c r="T5" s="51"/>
      <c r="U5" s="51"/>
    </row>
    <row r="6" spans="1:21" s="50" customFormat="1">
      <c r="A6" s="52"/>
      <c r="B6" s="52"/>
      <c r="C6" s="52"/>
      <c r="D6" s="52"/>
      <c r="E6" s="51"/>
      <c r="F6" s="60"/>
      <c r="G6" s="61" t="s">
        <v>107</v>
      </c>
      <c r="H6" s="61"/>
      <c r="I6" s="51"/>
      <c r="J6" s="51"/>
      <c r="M6" s="64">
        <v>0.2</v>
      </c>
      <c r="N6" s="64">
        <v>0.32</v>
      </c>
      <c r="O6" s="65"/>
      <c r="P6" s="51"/>
      <c r="Q6" s="51"/>
      <c r="T6" s="51"/>
      <c r="U6" s="51"/>
    </row>
    <row r="7" spans="1:21" s="50" customFormat="1">
      <c r="A7" s="52"/>
      <c r="B7" s="52"/>
      <c r="C7" s="52"/>
      <c r="D7" s="52"/>
      <c r="E7" s="51"/>
      <c r="F7" s="60"/>
      <c r="G7" s="73" t="s">
        <v>24</v>
      </c>
      <c r="H7" s="73"/>
      <c r="I7" s="51"/>
      <c r="J7" s="51"/>
      <c r="K7" s="51"/>
      <c r="L7" s="51"/>
      <c r="M7" s="65">
        <v>0.33329999999999999</v>
      </c>
      <c r="N7" s="65">
        <v>0.44450000000000001</v>
      </c>
      <c r="P7" s="51"/>
      <c r="Q7" s="51"/>
      <c r="T7" s="51"/>
      <c r="U7" s="51"/>
    </row>
    <row r="8" spans="1:21" s="50" customFormat="1">
      <c r="A8" s="51"/>
      <c r="B8" s="51"/>
      <c r="C8" s="51"/>
      <c r="D8" s="51"/>
      <c r="E8" s="51"/>
      <c r="F8" s="60"/>
      <c r="I8" s="51"/>
      <c r="J8" s="51"/>
      <c r="N8" s="51"/>
      <c r="O8" s="51"/>
      <c r="P8" s="51"/>
      <c r="Q8" s="51"/>
      <c r="T8" s="51"/>
      <c r="U8" s="51"/>
    </row>
    <row r="9" spans="1:21" s="50" customFormat="1">
      <c r="A9" s="51"/>
      <c r="B9" s="51"/>
      <c r="C9" s="51"/>
      <c r="D9" s="51"/>
      <c r="E9" s="51"/>
      <c r="F9" s="60"/>
      <c r="I9" s="274" t="s">
        <v>59</v>
      </c>
      <c r="J9" s="275"/>
      <c r="K9" s="276"/>
      <c r="L9" s="66"/>
      <c r="M9" s="272" t="s">
        <v>76</v>
      </c>
      <c r="N9" s="277"/>
      <c r="O9" s="66"/>
      <c r="P9" s="272" t="s">
        <v>77</v>
      </c>
      <c r="Q9" s="277"/>
      <c r="R9" s="273"/>
      <c r="T9" s="51"/>
      <c r="U9" s="51"/>
    </row>
    <row r="10" spans="1:21" s="59" customFormat="1" ht="38.25">
      <c r="A10" s="67" t="s">
        <v>9</v>
      </c>
      <c r="B10" s="67"/>
      <c r="C10" s="67" t="s">
        <v>29</v>
      </c>
      <c r="D10" s="67"/>
      <c r="E10" s="67" t="s">
        <v>30</v>
      </c>
      <c r="F10" s="68" t="s">
        <v>31</v>
      </c>
      <c r="G10" s="69" t="s">
        <v>14</v>
      </c>
      <c r="H10" s="69"/>
      <c r="I10" s="70" t="s">
        <v>68</v>
      </c>
      <c r="J10" s="70" t="s">
        <v>78</v>
      </c>
      <c r="K10" s="70" t="s">
        <v>105</v>
      </c>
      <c r="L10" s="70"/>
      <c r="M10" s="70">
        <v>2016</v>
      </c>
      <c r="N10" s="70">
        <v>2017</v>
      </c>
      <c r="O10" s="70"/>
      <c r="P10" s="70" t="s">
        <v>68</v>
      </c>
      <c r="Q10" s="70" t="s">
        <v>78</v>
      </c>
      <c r="R10" s="70" t="s">
        <v>105</v>
      </c>
      <c r="T10" s="70" t="s">
        <v>138</v>
      </c>
    </row>
    <row r="11" spans="1:21">
      <c r="A11" s="47" t="s">
        <v>15</v>
      </c>
      <c r="B11" s="47"/>
      <c r="N11" s="47"/>
    </row>
    <row r="12" spans="1:21">
      <c r="A12" s="47" t="s">
        <v>16</v>
      </c>
      <c r="B12" s="47"/>
      <c r="C12" s="71"/>
      <c r="D12" s="71"/>
      <c r="E12" s="71"/>
      <c r="F12" s="60">
        <v>1.9199999999999998E-2</v>
      </c>
      <c r="G12" s="72">
        <f>ROUND(C12*F12,0)</f>
        <v>0</v>
      </c>
      <c r="H12" s="72"/>
      <c r="I12" s="73">
        <v>0</v>
      </c>
      <c r="J12" s="73">
        <f>F12*E12</f>
        <v>0</v>
      </c>
      <c r="K12" s="61">
        <f>J12+G12</f>
        <v>0</v>
      </c>
      <c r="L12" s="61"/>
      <c r="M12" s="61">
        <f>ROUND(C12*$M$4,0)</f>
        <v>0</v>
      </c>
      <c r="N12" s="61">
        <f>ROUND(C12*$N$4,0)</f>
        <v>0</v>
      </c>
      <c r="O12" s="73"/>
      <c r="P12" s="73"/>
      <c r="Q12" s="73">
        <f>ROUND(((M12-J12)*-0.35)+P12,0)</f>
        <v>0</v>
      </c>
      <c r="R12" s="61">
        <f>ROUND(((N12-G12)*-0.35)+Q12,0)</f>
        <v>0</v>
      </c>
      <c r="T12" s="73"/>
    </row>
    <row r="13" spans="1:21">
      <c r="A13" s="47" t="s">
        <v>17</v>
      </c>
      <c r="B13" s="47"/>
      <c r="C13" s="71"/>
      <c r="D13" s="71"/>
      <c r="E13" s="71"/>
      <c r="F13" s="60">
        <v>1.8700000000000001E-2</v>
      </c>
      <c r="G13" s="72">
        <f t="shared" ref="G13:G14" si="0">ROUND(C13*F13,0)</f>
        <v>0</v>
      </c>
      <c r="H13" s="72"/>
      <c r="I13" s="73">
        <v>0</v>
      </c>
      <c r="J13" s="73">
        <f t="shared" ref="J13:J14" si="1">F13*E13</f>
        <v>0</v>
      </c>
      <c r="K13" s="61">
        <f>J13+G13</f>
        <v>0</v>
      </c>
      <c r="L13" s="61"/>
      <c r="M13" s="61">
        <f t="shared" ref="M13:M14" si="2">ROUND(C13*$M$4,0)</f>
        <v>0</v>
      </c>
      <c r="N13" s="61">
        <f t="shared" ref="N13:N14" si="3">ROUND(C13*$N$4,0)</f>
        <v>0</v>
      </c>
      <c r="O13" s="73"/>
      <c r="P13" s="73"/>
      <c r="Q13" s="73">
        <f>ROUND(((M13-J13)*-0.35)+P13,0)</f>
        <v>0</v>
      </c>
      <c r="R13" s="61">
        <f>ROUND(((N13-G13)*-0.35)+Q13,0)</f>
        <v>0</v>
      </c>
      <c r="T13" s="73"/>
    </row>
    <row r="14" spans="1:21">
      <c r="A14" s="47" t="s">
        <v>18</v>
      </c>
      <c r="B14" s="47"/>
      <c r="C14" s="71"/>
      <c r="D14" s="71"/>
      <c r="E14" s="71"/>
      <c r="F14" s="60">
        <v>3.2300000000000002E-2</v>
      </c>
      <c r="G14" s="72">
        <f t="shared" si="0"/>
        <v>0</v>
      </c>
      <c r="H14" s="72"/>
      <c r="I14" s="73">
        <v>0</v>
      </c>
      <c r="J14" s="73">
        <f t="shared" si="1"/>
        <v>0</v>
      </c>
      <c r="K14" s="61">
        <f>J14+G14</f>
        <v>0</v>
      </c>
      <c r="L14" s="61"/>
      <c r="M14" s="61">
        <f t="shared" si="2"/>
        <v>0</v>
      </c>
      <c r="N14" s="61">
        <f t="shared" si="3"/>
        <v>0</v>
      </c>
      <c r="O14" s="73"/>
      <c r="P14" s="73"/>
      <c r="Q14" s="73">
        <f>ROUND(((M14-J14)*-0.35)+P14,0)</f>
        <v>0</v>
      </c>
      <c r="R14" s="61">
        <f>ROUND(((N14-G14)*-0.35)+Q14,0)</f>
        <v>0</v>
      </c>
      <c r="T14" s="73"/>
    </row>
    <row r="15" spans="1:21">
      <c r="A15" s="47" t="s">
        <v>19</v>
      </c>
      <c r="B15" s="148" t="s">
        <v>119</v>
      </c>
      <c r="C15" s="74">
        <f>SUM(C12:C14)</f>
        <v>0</v>
      </c>
      <c r="D15" s="148" t="s">
        <v>119</v>
      </c>
      <c r="E15" s="74">
        <f>SUM(E12:E14)</f>
        <v>0</v>
      </c>
      <c r="F15" s="51"/>
      <c r="G15" s="75">
        <f t="shared" ref="G15:R15" si="4">SUM(G12:G14)</f>
        <v>0</v>
      </c>
      <c r="H15" s="72"/>
      <c r="I15" s="74">
        <f t="shared" si="4"/>
        <v>0</v>
      </c>
      <c r="J15" s="74">
        <f t="shared" si="4"/>
        <v>0</v>
      </c>
      <c r="K15" s="75">
        <f t="shared" si="4"/>
        <v>0</v>
      </c>
      <c r="L15" s="72"/>
      <c r="M15" s="75">
        <f t="shared" si="4"/>
        <v>0</v>
      </c>
      <c r="N15" s="75">
        <f t="shared" si="4"/>
        <v>0</v>
      </c>
      <c r="O15" s="76"/>
      <c r="P15" s="74">
        <f t="shared" si="4"/>
        <v>0</v>
      </c>
      <c r="Q15" s="74">
        <f t="shared" si="4"/>
        <v>0</v>
      </c>
      <c r="R15" s="75">
        <f t="shared" si="4"/>
        <v>0</v>
      </c>
      <c r="T15" s="74"/>
    </row>
    <row r="16" spans="1:21" ht="6" customHeight="1">
      <c r="A16" s="47"/>
      <c r="B16" s="47"/>
      <c r="C16" s="77"/>
      <c r="D16" s="76"/>
      <c r="E16" s="77"/>
      <c r="G16" s="78"/>
      <c r="H16" s="72"/>
      <c r="I16" s="77"/>
      <c r="J16" s="77"/>
      <c r="K16" s="78"/>
      <c r="L16" s="72"/>
      <c r="M16" s="78"/>
      <c r="N16" s="78"/>
      <c r="O16" s="76"/>
      <c r="P16" s="77"/>
      <c r="Q16" s="77"/>
      <c r="R16" s="78"/>
      <c r="T16" s="77"/>
    </row>
    <row r="17" spans="1:22">
      <c r="A17" s="47" t="s">
        <v>20</v>
      </c>
      <c r="B17" s="47"/>
      <c r="C17" s="79"/>
      <c r="D17" s="71"/>
      <c r="E17" s="79"/>
      <c r="F17" s="60">
        <v>1.8200000000000001E-2</v>
      </c>
      <c r="G17" s="80">
        <f>ROUND(C17*F17,0)</f>
        <v>0</v>
      </c>
      <c r="H17" s="72"/>
      <c r="I17" s="81">
        <v>0</v>
      </c>
      <c r="J17" s="81">
        <f t="shared" ref="J17" si="5">F17*E17</f>
        <v>0</v>
      </c>
      <c r="K17" s="82">
        <f>J17+G17</f>
        <v>0</v>
      </c>
      <c r="L17" s="61"/>
      <c r="M17" s="82">
        <f>ROUND(C17*$M$4,0)</f>
        <v>0</v>
      </c>
      <c r="N17" s="82">
        <f>ROUND(C17*$N$4,0)</f>
        <v>0</v>
      </c>
      <c r="O17" s="73"/>
      <c r="P17" s="81"/>
      <c r="Q17" s="81">
        <f>ROUND(((M17-J17)*-0.35)+P17,0)</f>
        <v>0</v>
      </c>
      <c r="R17" s="82">
        <f>ROUND(((N17-G17)*-0.35)+Q17,0)</f>
        <v>0</v>
      </c>
      <c r="T17" s="81"/>
    </row>
    <row r="18" spans="1:22" ht="6" customHeight="1">
      <c r="A18" s="47"/>
      <c r="B18" s="47"/>
      <c r="C18" s="77"/>
      <c r="D18" s="76"/>
      <c r="E18" s="77"/>
      <c r="G18" s="78"/>
      <c r="H18" s="72"/>
      <c r="I18" s="77"/>
      <c r="J18" s="77"/>
      <c r="K18" s="78"/>
      <c r="L18" s="72"/>
      <c r="M18" s="78"/>
      <c r="N18" s="78"/>
      <c r="O18" s="76"/>
      <c r="P18" s="76"/>
      <c r="Q18" s="77"/>
      <c r="R18" s="78"/>
      <c r="T18" s="77"/>
    </row>
    <row r="19" spans="1:22">
      <c r="A19" s="47" t="s">
        <v>11</v>
      </c>
      <c r="B19" s="47"/>
      <c r="C19" s="77"/>
      <c r="D19" s="76"/>
      <c r="E19" s="77"/>
      <c r="G19" s="78"/>
      <c r="H19" s="72"/>
      <c r="I19" s="77"/>
      <c r="J19" s="77"/>
      <c r="K19" s="78"/>
      <c r="L19" s="72"/>
      <c r="M19" s="78"/>
      <c r="N19" s="78"/>
      <c r="O19" s="76"/>
      <c r="P19" s="76"/>
      <c r="Q19" s="77"/>
      <c r="R19" s="78"/>
      <c r="T19" s="77"/>
    </row>
    <row r="20" spans="1:22">
      <c r="A20" s="47" t="s">
        <v>134</v>
      </c>
      <c r="B20" s="47"/>
      <c r="C20" s="71">
        <v>0</v>
      </c>
      <c r="D20" s="71"/>
      <c r="E20" s="71">
        <v>0</v>
      </c>
      <c r="F20" s="60">
        <v>2.92E-2</v>
      </c>
      <c r="G20" s="72">
        <f>ROUND(C20*F20,0)</f>
        <v>0</v>
      </c>
      <c r="H20" s="72"/>
      <c r="I20" s="73">
        <v>0</v>
      </c>
      <c r="J20" s="73">
        <v>0</v>
      </c>
      <c r="K20" s="61">
        <v>0</v>
      </c>
      <c r="L20" s="61"/>
      <c r="M20" s="61">
        <f>ROUND(C20*$M$4,0)</f>
        <v>0</v>
      </c>
      <c r="N20" s="61">
        <f>ROUND(C20*$N$4,0)</f>
        <v>0</v>
      </c>
      <c r="O20" s="73"/>
      <c r="P20" s="73"/>
      <c r="Q20" s="73">
        <v>0</v>
      </c>
      <c r="R20" s="61">
        <f>ROUND(((N20-G20)*-0.35)+Q20,0)</f>
        <v>0</v>
      </c>
      <c r="T20" s="73">
        <f>-26574</f>
        <v>-26574</v>
      </c>
      <c r="U20" s="73">
        <f>6298</f>
        <v>6298</v>
      </c>
      <c r="V20" s="151">
        <f>T20*F20</f>
        <v>-775.96080000000006</v>
      </c>
    </row>
    <row r="21" spans="1:22">
      <c r="A21" s="47" t="s">
        <v>122</v>
      </c>
      <c r="B21" s="47"/>
      <c r="C21" s="71">
        <f>'[3]CAP16.1- Allocations'!D108*0.4404</f>
        <v>14199.778893880286</v>
      </c>
      <c r="D21" s="71"/>
      <c r="E21" s="71">
        <f>'[3]CAP16.1- Allocations'!E108*0.4404</f>
        <v>8398.6418532699026</v>
      </c>
      <c r="F21" s="60">
        <v>6.6600000000000006E-2</v>
      </c>
      <c r="G21" s="72">
        <f>ROUND(C21*F21,0)</f>
        <v>946</v>
      </c>
      <c r="H21" s="72"/>
      <c r="I21" s="73">
        <v>0</v>
      </c>
      <c r="J21" s="73">
        <f t="shared" ref="J21" si="6">F21*E21</f>
        <v>559.34954742777552</v>
      </c>
      <c r="K21" s="61">
        <f>J21+G21</f>
        <v>1505.3495474277756</v>
      </c>
      <c r="L21" s="61"/>
      <c r="M21" s="61">
        <f t="shared" ref="M21" si="7">ROUND(C21*$M$4,0)</f>
        <v>532</v>
      </c>
      <c r="N21" s="61">
        <f>ROUND(C21*$N$4,0)</f>
        <v>1025</v>
      </c>
      <c r="O21" s="73"/>
      <c r="P21" s="73"/>
      <c r="Q21" s="73">
        <f>ROUND(((M21-J21)*-0.35)+P21,0)</f>
        <v>10</v>
      </c>
      <c r="R21" s="61">
        <f>ROUND(((N21-G21)*-0.35)+Q21,0)</f>
        <v>-18</v>
      </c>
      <c r="T21" s="73"/>
    </row>
    <row r="22" spans="1:22">
      <c r="A22" s="47" t="s">
        <v>19</v>
      </c>
      <c r="B22" s="47"/>
      <c r="C22" s="74">
        <f>SUM(C20:C21)</f>
        <v>14199.778893880286</v>
      </c>
      <c r="D22" s="76"/>
      <c r="E22" s="74">
        <f t="shared" ref="E22:T22" si="8">SUM(E20:E21)</f>
        <v>8398.6418532699026</v>
      </c>
      <c r="F22" s="51"/>
      <c r="G22" s="75">
        <f t="shared" si="8"/>
        <v>946</v>
      </c>
      <c r="H22" s="72"/>
      <c r="I22" s="74">
        <f t="shared" si="8"/>
        <v>0</v>
      </c>
      <c r="J22" s="74">
        <f t="shared" si="8"/>
        <v>559.34954742777552</v>
      </c>
      <c r="K22" s="75">
        <f>SUM(K20:K21)</f>
        <v>1505.3495474277756</v>
      </c>
      <c r="L22" s="72"/>
      <c r="M22" s="75">
        <f t="shared" si="8"/>
        <v>532</v>
      </c>
      <c r="N22" s="75">
        <f t="shared" si="8"/>
        <v>1025</v>
      </c>
      <c r="O22" s="76"/>
      <c r="P22" s="74">
        <f t="shared" si="8"/>
        <v>0</v>
      </c>
      <c r="Q22" s="74">
        <f t="shared" si="8"/>
        <v>10</v>
      </c>
      <c r="R22" s="75">
        <f t="shared" si="8"/>
        <v>-18</v>
      </c>
      <c r="T22" s="74">
        <f t="shared" si="8"/>
        <v>-26574</v>
      </c>
    </row>
    <row r="23" spans="1:22" ht="6" customHeight="1">
      <c r="A23" s="47"/>
      <c r="B23" s="47"/>
      <c r="C23" s="77"/>
      <c r="D23" s="76"/>
      <c r="E23" s="77"/>
      <c r="G23" s="78"/>
      <c r="H23" s="72"/>
      <c r="I23" s="77"/>
      <c r="J23" s="77"/>
      <c r="K23" s="78"/>
      <c r="L23" s="72"/>
      <c r="M23" s="78"/>
      <c r="N23" s="78"/>
      <c r="O23" s="76"/>
      <c r="P23" s="77"/>
      <c r="Q23" s="77"/>
      <c r="R23" s="78"/>
      <c r="T23" s="77"/>
    </row>
    <row r="24" spans="1:22">
      <c r="A24" s="47" t="s">
        <v>12</v>
      </c>
      <c r="B24" s="47"/>
      <c r="C24" s="71">
        <f>'[3]CAP16.1- Allocations'!D108*0.3663</f>
        <v>11810.579039119773</v>
      </c>
      <c r="D24" s="71"/>
      <c r="E24" s="71">
        <f>'[3]CAP16.1- Allocations'!E108*0.3663</f>
        <v>6985.5188711461515</v>
      </c>
      <c r="F24" s="60">
        <v>6.6600000000000006E-2</v>
      </c>
      <c r="G24" s="72">
        <f>ROUND(C24*F24,0)</f>
        <v>787</v>
      </c>
      <c r="H24" s="72"/>
      <c r="I24" s="73">
        <v>0</v>
      </c>
      <c r="J24" s="73">
        <f t="shared" ref="J24:J25" si="9">F24*E24</f>
        <v>465.23555681833375</v>
      </c>
      <c r="K24" s="61">
        <f>J24+G24</f>
        <v>1252.2355568183339</v>
      </c>
      <c r="L24" s="61"/>
      <c r="M24" s="61">
        <f>ROUND(C24*$M$5,0)</f>
        <v>1687</v>
      </c>
      <c r="N24" s="61">
        <f>ROUND(C24*$N$5,0)</f>
        <v>2892</v>
      </c>
      <c r="O24" s="73"/>
      <c r="P24" s="73"/>
      <c r="Q24" s="73">
        <f>ROUND(((M24-J24)*-0.35)+P24,0)</f>
        <v>-428</v>
      </c>
      <c r="R24" s="61">
        <f>ROUND(((N24-G24)*-0.35)+Q24,0)</f>
        <v>-1165</v>
      </c>
      <c r="T24" s="73"/>
    </row>
    <row r="25" spans="1:22">
      <c r="A25" s="47" t="s">
        <v>23</v>
      </c>
      <c r="B25" s="47"/>
      <c r="C25" s="71"/>
      <c r="D25" s="71"/>
      <c r="E25" s="71"/>
      <c r="F25" s="60">
        <v>8.9200000000000002E-2</v>
      </c>
      <c r="G25" s="72">
        <f>ROUND(C25*F25,0)</f>
        <v>0</v>
      </c>
      <c r="H25" s="72"/>
      <c r="I25" s="73">
        <v>0</v>
      </c>
      <c r="J25" s="73">
        <f t="shared" si="9"/>
        <v>0</v>
      </c>
      <c r="K25" s="61">
        <f>J25+G25</f>
        <v>0</v>
      </c>
      <c r="L25" s="61"/>
      <c r="M25" s="61">
        <f>ROUND(C25*$M$4,0)</f>
        <v>0</v>
      </c>
      <c r="N25" s="61">
        <f>ROUND(C25*$N$4,0)</f>
        <v>0</v>
      </c>
      <c r="O25" s="73"/>
      <c r="P25" s="73"/>
      <c r="Q25" s="73">
        <f>ROUND(((M25-J25)*-0.35)+P25,0)</f>
        <v>0</v>
      </c>
      <c r="R25" s="61">
        <f>ROUND(((N25-G25)*-0.35)+Q25,0)</f>
        <v>0</v>
      </c>
      <c r="T25" s="73"/>
    </row>
    <row r="26" spans="1:22">
      <c r="A26" s="47" t="s">
        <v>19</v>
      </c>
      <c r="B26" s="47"/>
      <c r="C26" s="74">
        <f>SUM(C24:C25)</f>
        <v>11810.579039119773</v>
      </c>
      <c r="D26" s="76"/>
      <c r="E26" s="74">
        <f t="shared" ref="E26:T26" si="10">SUM(E24:E25)</f>
        <v>6985.5188711461515</v>
      </c>
      <c r="F26" s="51"/>
      <c r="G26" s="75">
        <f t="shared" si="10"/>
        <v>787</v>
      </c>
      <c r="H26" s="72"/>
      <c r="I26" s="74">
        <f t="shared" si="10"/>
        <v>0</v>
      </c>
      <c r="J26" s="74">
        <f t="shared" si="10"/>
        <v>465.23555681833375</v>
      </c>
      <c r="K26" s="74">
        <f t="shared" si="10"/>
        <v>1252.2355568183339</v>
      </c>
      <c r="L26" s="72"/>
      <c r="M26" s="75">
        <f t="shared" si="10"/>
        <v>1687</v>
      </c>
      <c r="N26" s="75">
        <f t="shared" si="10"/>
        <v>2892</v>
      </c>
      <c r="O26" s="76"/>
      <c r="P26" s="74">
        <f t="shared" si="10"/>
        <v>0</v>
      </c>
      <c r="Q26" s="74">
        <f t="shared" si="10"/>
        <v>-428</v>
      </c>
      <c r="R26" s="75">
        <f t="shared" si="10"/>
        <v>-1165</v>
      </c>
      <c r="T26" s="74">
        <f t="shared" si="10"/>
        <v>0</v>
      </c>
    </row>
    <row r="27" spans="1:22">
      <c r="A27" s="47"/>
      <c r="B27" s="47"/>
      <c r="C27" s="77"/>
      <c r="D27" s="76"/>
      <c r="E27" s="77"/>
      <c r="G27" s="78"/>
      <c r="H27" s="72"/>
      <c r="I27" s="77"/>
      <c r="J27" s="77"/>
      <c r="K27" s="78"/>
      <c r="L27" s="72"/>
      <c r="M27" s="78"/>
      <c r="N27" s="78"/>
      <c r="O27" s="76"/>
      <c r="P27" s="83"/>
      <c r="Q27" s="83"/>
      <c r="R27" s="78"/>
      <c r="T27" s="77"/>
    </row>
    <row r="28" spans="1:22">
      <c r="A28" s="47" t="s">
        <v>115</v>
      </c>
      <c r="B28" s="47"/>
      <c r="C28" s="71">
        <f>'[3]CAP16.1- Allocations'!D108*0.1932*0.39</f>
        <v>2429.4390102091093</v>
      </c>
      <c r="D28" s="71"/>
      <c r="E28" s="71">
        <f>'[3]CAP16.1- Allocations'!E108*0.1932*0.39</f>
        <v>1436.9229481384664</v>
      </c>
      <c r="F28" s="60">
        <v>0.2</v>
      </c>
      <c r="G28" s="72">
        <f t="shared" ref="G28:G29" si="11">ROUND(C28*F28,0)</f>
        <v>486</v>
      </c>
      <c r="H28" s="72"/>
      <c r="I28" s="73">
        <v>0</v>
      </c>
      <c r="J28" s="73">
        <f t="shared" ref="J28" si="12">F28*E28</f>
        <v>287.38458962769329</v>
      </c>
      <c r="K28" s="61">
        <f>J28+G28</f>
        <v>773.38458962769323</v>
      </c>
      <c r="L28" s="61"/>
      <c r="M28" s="61">
        <f>ROUND(C28*$M$7,0)</f>
        <v>810</v>
      </c>
      <c r="N28" s="61">
        <f>ROUND(C28*$N$7,0)</f>
        <v>1080</v>
      </c>
      <c r="O28" s="73"/>
      <c r="P28" s="73"/>
      <c r="Q28" s="73">
        <f>ROUND(((M28-J28)*-0.35)+P28,0)</f>
        <v>-183</v>
      </c>
      <c r="R28" s="61">
        <f>ROUND(((N28-G28)*-0.35)+Q28,0)</f>
        <v>-391</v>
      </c>
      <c r="T28" s="73"/>
    </row>
    <row r="29" spans="1:22">
      <c r="A29" s="47" t="s">
        <v>116</v>
      </c>
      <c r="B29" s="47"/>
      <c r="C29" s="71">
        <f>'[3]CAP16.1- Allocations'!D108*0.1932*0.61</f>
        <v>3799.8917851988635</v>
      </c>
      <c r="D29" s="71"/>
      <c r="E29" s="71">
        <f>'[3]CAP16.1- Allocations'!E108*0.1932*0.61</f>
        <v>2247.4948676011909</v>
      </c>
      <c r="F29" s="60">
        <v>0.23699999999999999</v>
      </c>
      <c r="G29" s="72">
        <f t="shared" si="11"/>
        <v>901</v>
      </c>
      <c r="H29" s="72"/>
      <c r="I29" s="73">
        <v>0</v>
      </c>
      <c r="J29" s="73">
        <f>F29*E29</f>
        <v>532.6562836214822</v>
      </c>
      <c r="K29" s="61">
        <f>J29+G29</f>
        <v>1433.6562836214821</v>
      </c>
      <c r="L29" s="61"/>
      <c r="M29" s="61">
        <f>ROUND(C29*$M$6,0)</f>
        <v>760</v>
      </c>
      <c r="N29" s="61">
        <f>ROUND(C29*$N$6,0)</f>
        <v>1216</v>
      </c>
      <c r="O29" s="73"/>
      <c r="P29" s="73"/>
      <c r="Q29" s="73">
        <f>ROUND(((M29-J29)*-0.35)+P29,0)</f>
        <v>-80</v>
      </c>
      <c r="R29" s="61">
        <f>ROUND(((N29-G29)*-0.35)+Q29,0)</f>
        <v>-190</v>
      </c>
      <c r="T29" s="73"/>
    </row>
    <row r="30" spans="1:22">
      <c r="A30" s="47" t="s">
        <v>79</v>
      </c>
      <c r="B30" s="47"/>
      <c r="C30" s="97">
        <f>SUM(C28:C29)</f>
        <v>6229.3307954079728</v>
      </c>
      <c r="D30" s="71"/>
      <c r="E30" s="97">
        <f>SUM(E28:E29)</f>
        <v>3684.4178157396573</v>
      </c>
      <c r="F30" s="60"/>
      <c r="G30" s="97">
        <f>SUM(G28:G29)</f>
        <v>1387</v>
      </c>
      <c r="H30" s="72"/>
      <c r="I30" s="97">
        <f t="shared" ref="I30:K30" si="13">SUM(I28:I29)</f>
        <v>0</v>
      </c>
      <c r="J30" s="97">
        <f t="shared" si="13"/>
        <v>820.04087324917555</v>
      </c>
      <c r="K30" s="97">
        <f t="shared" si="13"/>
        <v>2207.0408732491751</v>
      </c>
      <c r="L30" s="61"/>
      <c r="M30" s="97">
        <f t="shared" ref="M30:N30" si="14">SUM(M28:M29)</f>
        <v>1570</v>
      </c>
      <c r="N30" s="97">
        <f t="shared" si="14"/>
        <v>2296</v>
      </c>
      <c r="O30" s="73"/>
      <c r="P30" s="97">
        <f t="shared" ref="P30:T30" si="15">SUM(P28:P29)</f>
        <v>0</v>
      </c>
      <c r="Q30" s="97">
        <f t="shared" si="15"/>
        <v>-263</v>
      </c>
      <c r="R30" s="97">
        <f t="shared" si="15"/>
        <v>-581</v>
      </c>
      <c r="T30" s="97">
        <f t="shared" si="15"/>
        <v>0</v>
      </c>
    </row>
    <row r="31" spans="1:22">
      <c r="A31" s="47"/>
      <c r="B31" s="47"/>
      <c r="C31" s="77"/>
      <c r="D31" s="76"/>
      <c r="E31" s="77"/>
      <c r="G31" s="77"/>
      <c r="H31" s="72"/>
      <c r="I31" s="77"/>
      <c r="J31" s="77"/>
      <c r="K31" s="77"/>
      <c r="L31" s="72"/>
      <c r="M31" s="77"/>
      <c r="N31" s="77"/>
      <c r="O31" s="76"/>
      <c r="P31" s="77"/>
      <c r="Q31" s="77"/>
      <c r="R31" s="77"/>
      <c r="T31" s="77"/>
    </row>
    <row r="32" spans="1:22" s="88" customFormat="1" ht="13.5" thickBot="1">
      <c r="A32" s="84" t="s">
        <v>25</v>
      </c>
      <c r="B32" s="84"/>
      <c r="C32" s="85">
        <f>SUM(C15,C17,C22,C26,C30)</f>
        <v>32239.688728408029</v>
      </c>
      <c r="D32" s="87"/>
      <c r="E32" s="85">
        <f>SUM(E15,E17,E22,E26,E30)</f>
        <v>19068.578540155711</v>
      </c>
      <c r="F32" s="52"/>
      <c r="G32" s="85">
        <f>SUM(G15,G17,G22,G26,G30)</f>
        <v>3120</v>
      </c>
      <c r="H32" s="86"/>
      <c r="I32" s="85">
        <f t="shared" ref="I32:K32" si="16">SUM(I15,I17,I22,I26,I30)</f>
        <v>0</v>
      </c>
      <c r="J32" s="85">
        <f t="shared" si="16"/>
        <v>1844.6259774952848</v>
      </c>
      <c r="K32" s="85">
        <f t="shared" si="16"/>
        <v>4964.625977495285</v>
      </c>
      <c r="L32" s="86"/>
      <c r="M32" s="85">
        <f t="shared" ref="M32:N32" si="17">SUM(M15,M17,M22,M26,M30)</f>
        <v>3789</v>
      </c>
      <c r="N32" s="85">
        <f t="shared" si="17"/>
        <v>6213</v>
      </c>
      <c r="O32" s="87"/>
      <c r="P32" s="85">
        <f t="shared" ref="P32:T32" si="18">SUM(P15,P17,P22,P26,P30)</f>
        <v>0</v>
      </c>
      <c r="Q32" s="85">
        <f t="shared" si="18"/>
        <v>-681</v>
      </c>
      <c r="R32" s="85">
        <f t="shared" si="18"/>
        <v>-1764</v>
      </c>
      <c r="T32" s="85">
        <f t="shared" si="18"/>
        <v>-26574</v>
      </c>
      <c r="U32" s="84"/>
    </row>
    <row r="33" spans="1:27" s="88" customFormat="1">
      <c r="A33" s="84"/>
      <c r="B33" s="84"/>
      <c r="C33" s="146" t="s">
        <v>117</v>
      </c>
      <c r="D33" s="147"/>
      <c r="E33" s="146" t="s">
        <v>117</v>
      </c>
      <c r="F33" s="52"/>
      <c r="G33" s="91"/>
      <c r="H33" s="86"/>
      <c r="I33" s="89"/>
      <c r="J33" s="146" t="s">
        <v>117</v>
      </c>
      <c r="K33" s="91"/>
      <c r="L33" s="86"/>
      <c r="M33" s="146" t="s">
        <v>117</v>
      </c>
      <c r="N33" s="91"/>
      <c r="O33" s="87"/>
      <c r="P33" s="89"/>
      <c r="Q33" s="146" t="s">
        <v>117</v>
      </c>
      <c r="R33" s="91"/>
      <c r="T33" s="146" t="s">
        <v>117</v>
      </c>
      <c r="U33" s="84"/>
    </row>
    <row r="34" spans="1:27">
      <c r="C34" s="77"/>
      <c r="D34" s="76"/>
      <c r="E34" s="77"/>
      <c r="G34" s="78"/>
      <c r="H34" s="72"/>
      <c r="I34" s="77"/>
      <c r="J34" s="77"/>
      <c r="K34" s="78"/>
      <c r="L34" s="72"/>
      <c r="M34" s="78"/>
      <c r="N34" s="78"/>
      <c r="O34" s="76"/>
      <c r="P34" s="77"/>
      <c r="Q34" s="77"/>
      <c r="R34" s="78"/>
      <c r="T34" s="77"/>
      <c r="Z34" s="77"/>
      <c r="AA34" s="78"/>
    </row>
    <row r="35" spans="1:27">
      <c r="A35" s="49" t="s">
        <v>26</v>
      </c>
      <c r="C35" s="79"/>
      <c r="D35" s="71"/>
      <c r="E35" s="79"/>
      <c r="F35" s="60">
        <v>1.5900000000000001E-2</v>
      </c>
      <c r="G35" s="80">
        <f>ROUND(C35*F35,0)</f>
        <v>0</v>
      </c>
      <c r="H35" s="72"/>
      <c r="I35" s="81">
        <v>0</v>
      </c>
      <c r="J35" s="81">
        <f t="shared" ref="J35" si="19">F35*E35</f>
        <v>0</v>
      </c>
      <c r="K35" s="82">
        <f>J35+G35</f>
        <v>0</v>
      </c>
      <c r="L35" s="61"/>
      <c r="M35" s="82">
        <f t="shared" ref="M35" si="20">ROUND(C35*$M$4,0)</f>
        <v>0</v>
      </c>
      <c r="N35" s="82">
        <f>ROUND(C35*$N$4,0)</f>
        <v>0</v>
      </c>
      <c r="O35" s="73"/>
      <c r="P35" s="81"/>
      <c r="Q35" s="81">
        <f>ROUND(((M35-J35)*-0.35)+P35,0)</f>
        <v>0</v>
      </c>
      <c r="R35" s="82">
        <f>ROUND(((N35-G35)*-0.35)+Q35,0)</f>
        <v>0</v>
      </c>
      <c r="T35" s="81"/>
    </row>
    <row r="36" spans="1:27" ht="6" customHeight="1">
      <c r="C36" s="77"/>
      <c r="D36" s="76"/>
      <c r="E36" s="77"/>
      <c r="G36" s="78"/>
      <c r="H36" s="72"/>
      <c r="I36" s="77"/>
      <c r="J36" s="77"/>
      <c r="K36" s="78"/>
      <c r="L36" s="72"/>
      <c r="M36" s="78"/>
      <c r="N36" s="78"/>
      <c r="O36" s="76"/>
      <c r="P36" s="77"/>
      <c r="Q36" s="77"/>
      <c r="R36" s="78"/>
      <c r="T36" s="77"/>
    </row>
    <row r="37" spans="1:27">
      <c r="A37" s="49" t="s">
        <v>11</v>
      </c>
      <c r="C37" s="77"/>
      <c r="D37" s="76"/>
      <c r="E37" s="77"/>
      <c r="G37" s="78"/>
      <c r="H37" s="72"/>
      <c r="I37" s="77"/>
      <c r="J37" s="77"/>
      <c r="K37" s="78"/>
      <c r="L37" s="72"/>
      <c r="M37" s="78"/>
      <c r="N37" s="78"/>
      <c r="O37" s="76"/>
      <c r="P37" s="77"/>
      <c r="Q37" s="77"/>
      <c r="R37" s="78"/>
      <c r="T37" s="77"/>
    </row>
    <row r="38" spans="1:27">
      <c r="A38" s="49" t="s">
        <v>21</v>
      </c>
      <c r="C38" s="71">
        <f>'[3]CAP16.1- Allocations'!D197</f>
        <v>0</v>
      </c>
      <c r="D38" s="71"/>
      <c r="E38" s="71">
        <f>'[3]CAP16.1- Allocations'!E197</f>
        <v>0</v>
      </c>
      <c r="F38" s="60">
        <v>2.52E-2</v>
      </c>
      <c r="G38" s="72">
        <f>ROUND(C38*F38,0)</f>
        <v>0</v>
      </c>
      <c r="H38" s="72"/>
      <c r="I38" s="73">
        <v>0</v>
      </c>
      <c r="J38" s="73">
        <f t="shared" ref="J38:J40" si="21">F38*E38</f>
        <v>0</v>
      </c>
      <c r="K38" s="61">
        <f>J38+G38</f>
        <v>0</v>
      </c>
      <c r="L38" s="61"/>
      <c r="M38" s="61">
        <f t="shared" ref="M38:M40" si="22">ROUND(C38*$M$4,0)</f>
        <v>0</v>
      </c>
      <c r="N38" s="61">
        <f>ROUND(C38*$N$4,0)</f>
        <v>0</v>
      </c>
      <c r="O38" s="73"/>
      <c r="P38" s="73"/>
      <c r="Q38" s="73">
        <f>ROUND((((M38-J38)/2)*-0.35)+P38,0)</f>
        <v>0</v>
      </c>
      <c r="R38" s="61">
        <f>ROUND(((N38-G38)*-0.35)+Q38,0)</f>
        <v>0</v>
      </c>
      <c r="T38" s="73"/>
    </row>
    <row r="39" spans="1:27">
      <c r="A39" s="49" t="s">
        <v>27</v>
      </c>
      <c r="C39" s="71">
        <v>0</v>
      </c>
      <c r="D39" s="71"/>
      <c r="E39" s="71">
        <v>0</v>
      </c>
      <c r="F39" s="60">
        <v>2.52E-2</v>
      </c>
      <c r="G39" s="72">
        <f t="shared" ref="G39:G40" si="23">ROUND(C39*F39,0)</f>
        <v>0</v>
      </c>
      <c r="H39" s="72"/>
      <c r="I39" s="73">
        <v>0</v>
      </c>
      <c r="J39" s="73">
        <f t="shared" si="21"/>
        <v>0</v>
      </c>
      <c r="K39" s="61">
        <f>J39+G39</f>
        <v>0</v>
      </c>
      <c r="L39" s="61"/>
      <c r="M39" s="61">
        <f t="shared" si="22"/>
        <v>0</v>
      </c>
      <c r="N39" s="61">
        <f t="shared" ref="N39:N40" si="24">ROUND(C39*$N$4,0)</f>
        <v>0</v>
      </c>
      <c r="O39" s="73"/>
      <c r="P39" s="73"/>
      <c r="Q39" s="73">
        <f>ROUND(((M39-J39)*-0.35)+P39,0)</f>
        <v>0</v>
      </c>
      <c r="R39" s="61">
        <f>ROUND(((N39-G39)*-0.35)+Q39,0)</f>
        <v>0</v>
      </c>
      <c r="T39" s="73"/>
    </row>
    <row r="40" spans="1:27">
      <c r="A40" s="49" t="s">
        <v>122</v>
      </c>
      <c r="C40" s="71">
        <f>'[3]CAP16.1- Allocations'!D109*0.4404</f>
        <v>3856.6787985197166</v>
      </c>
      <c r="D40" s="71"/>
      <c r="E40" s="71">
        <f>'[3]CAP16.1- Allocations'!E109*0.4404</f>
        <v>2281.0822769800975</v>
      </c>
      <c r="F40" s="60">
        <v>6.6600000000000006E-2</v>
      </c>
      <c r="G40" s="72">
        <f t="shared" si="23"/>
        <v>257</v>
      </c>
      <c r="H40" s="72"/>
      <c r="I40" s="73">
        <v>0</v>
      </c>
      <c r="J40" s="73">
        <f t="shared" si="21"/>
        <v>151.92007964687451</v>
      </c>
      <c r="K40" s="61">
        <f>J40+G40</f>
        <v>408.92007964687451</v>
      </c>
      <c r="L40" s="61"/>
      <c r="M40" s="61">
        <f t="shared" si="22"/>
        <v>145</v>
      </c>
      <c r="N40" s="61">
        <f t="shared" si="24"/>
        <v>278</v>
      </c>
      <c r="O40" s="73"/>
      <c r="P40" s="73"/>
      <c r="Q40" s="73">
        <f>ROUND(((M40-J40)*-0.35)+P40,0)</f>
        <v>2</v>
      </c>
      <c r="R40" s="61">
        <f>ROUND(((N40-G40)*-0.35)+Q40,0)</f>
        <v>-5</v>
      </c>
      <c r="T40" s="73"/>
    </row>
    <row r="41" spans="1:27">
      <c r="A41" s="49" t="s">
        <v>19</v>
      </c>
      <c r="C41" s="74">
        <f>SUM(C38:C40)</f>
        <v>3856.6787985197166</v>
      </c>
      <c r="D41" s="76"/>
      <c r="E41" s="74">
        <f>SUM(E38:E40)</f>
        <v>2281.0822769800975</v>
      </c>
      <c r="F41" s="51"/>
      <c r="G41" s="75">
        <f t="shared" ref="G41:T41" si="25">SUM(G38:G40)</f>
        <v>257</v>
      </c>
      <c r="H41" s="72"/>
      <c r="I41" s="74">
        <f t="shared" si="25"/>
        <v>0</v>
      </c>
      <c r="J41" s="74">
        <f t="shared" si="25"/>
        <v>151.92007964687451</v>
      </c>
      <c r="K41" s="75">
        <f t="shared" si="25"/>
        <v>408.92007964687451</v>
      </c>
      <c r="L41" s="72"/>
      <c r="M41" s="75">
        <f t="shared" si="25"/>
        <v>145</v>
      </c>
      <c r="N41" s="75">
        <f t="shared" si="25"/>
        <v>278</v>
      </c>
      <c r="O41" s="76"/>
      <c r="P41" s="74">
        <f t="shared" si="25"/>
        <v>0</v>
      </c>
      <c r="Q41" s="74">
        <f t="shared" si="25"/>
        <v>2</v>
      </c>
      <c r="R41" s="75">
        <f t="shared" si="25"/>
        <v>-5</v>
      </c>
      <c r="T41" s="74">
        <f t="shared" si="25"/>
        <v>0</v>
      </c>
    </row>
    <row r="42" spans="1:27" ht="7.5" customHeight="1">
      <c r="C42" s="77"/>
      <c r="D42" s="76"/>
      <c r="E42" s="77"/>
      <c r="G42" s="78"/>
      <c r="H42" s="72"/>
      <c r="I42" s="77"/>
      <c r="J42" s="77"/>
      <c r="K42" s="78"/>
      <c r="L42" s="72"/>
      <c r="M42" s="78"/>
      <c r="N42" s="78"/>
      <c r="O42" s="76"/>
      <c r="P42" s="77"/>
      <c r="Q42" s="77"/>
      <c r="R42" s="78"/>
      <c r="T42" s="77"/>
    </row>
    <row r="43" spans="1:27">
      <c r="A43" s="49" t="s">
        <v>12</v>
      </c>
      <c r="C43" s="71">
        <f>'[3]CAP16.1- Allocations'!D109*0.3663</f>
        <v>3207.7689461802274</v>
      </c>
      <c r="D43" s="71"/>
      <c r="E43" s="71">
        <f>'[3]CAP16.1- Allocations'!E109*0.3663</f>
        <v>1897.2761990413483</v>
      </c>
      <c r="F43" s="60">
        <v>6.6600000000000006E-2</v>
      </c>
      <c r="G43" s="72">
        <f t="shared" ref="G43:G44" si="26">ROUND(C43*F43,0)</f>
        <v>214</v>
      </c>
      <c r="H43" s="72"/>
      <c r="I43" s="73">
        <v>0</v>
      </c>
      <c r="J43" s="73">
        <f t="shared" ref="J43" si="27">F43*E43</f>
        <v>126.3585948561538</v>
      </c>
      <c r="K43" s="61">
        <f>J43+G43</f>
        <v>340.35859485615379</v>
      </c>
      <c r="L43" s="61"/>
      <c r="M43" s="61">
        <f>ROUND(C43*$M$5,0)</f>
        <v>458</v>
      </c>
      <c r="N43" s="61">
        <f>ROUND(C43*$N$5,0)</f>
        <v>786</v>
      </c>
      <c r="O43" s="73"/>
      <c r="P43" s="73"/>
      <c r="Q43" s="73">
        <f>ROUND(((M43-J43)*-0.35)+P43,0)</f>
        <v>-116</v>
      </c>
      <c r="R43" s="61">
        <f>ROUND(((N43-G43)*-0.35)+Q43,0)</f>
        <v>-316</v>
      </c>
      <c r="T43" s="73"/>
    </row>
    <row r="44" spans="1:27">
      <c r="A44" s="49" t="s">
        <v>23</v>
      </c>
      <c r="C44" s="71"/>
      <c r="D44" s="71"/>
      <c r="E44" s="71"/>
      <c r="F44" s="60">
        <v>8.9200000000000002E-2</v>
      </c>
      <c r="G44" s="72">
        <f t="shared" si="26"/>
        <v>0</v>
      </c>
      <c r="H44" s="72"/>
      <c r="I44" s="73">
        <v>0</v>
      </c>
      <c r="J44" s="73">
        <f>F44*E44</f>
        <v>0</v>
      </c>
      <c r="K44" s="61">
        <f>J44+G44</f>
        <v>0</v>
      </c>
      <c r="L44" s="61"/>
      <c r="M44" s="61">
        <f>ROUND(C44*$M$6,0)</f>
        <v>0</v>
      </c>
      <c r="N44" s="61">
        <f>ROUND(C44*$N$6,0)</f>
        <v>0</v>
      </c>
      <c r="O44" s="73"/>
      <c r="P44" s="73"/>
      <c r="Q44" s="73">
        <f>ROUND(((M44-J44)*-0.35)+P44,0)</f>
        <v>0</v>
      </c>
      <c r="R44" s="61">
        <f>ROUND(((N44-G44)*-0.35)+Q44,0)</f>
        <v>0</v>
      </c>
      <c r="T44" s="73"/>
    </row>
    <row r="45" spans="1:27">
      <c r="A45" s="49" t="s">
        <v>19</v>
      </c>
      <c r="C45" s="74">
        <f>SUM(C43:C44)</f>
        <v>3207.7689461802274</v>
      </c>
      <c r="D45" s="76"/>
      <c r="E45" s="74">
        <f>SUM(E43:E44)</f>
        <v>1897.2761990413483</v>
      </c>
      <c r="F45" s="76"/>
      <c r="G45" s="75">
        <f t="shared" ref="G45:T45" si="28">SUM(G43:G44)</f>
        <v>214</v>
      </c>
      <c r="H45" s="72"/>
      <c r="I45" s="74">
        <f t="shared" si="28"/>
        <v>0</v>
      </c>
      <c r="J45" s="74">
        <f t="shared" si="28"/>
        <v>126.3585948561538</v>
      </c>
      <c r="K45" s="74">
        <f t="shared" si="28"/>
        <v>340.35859485615379</v>
      </c>
      <c r="L45" s="72"/>
      <c r="M45" s="75">
        <f t="shared" si="28"/>
        <v>458</v>
      </c>
      <c r="N45" s="75">
        <f t="shared" si="28"/>
        <v>786</v>
      </c>
      <c r="O45" s="76"/>
      <c r="P45" s="74">
        <f t="shared" si="28"/>
        <v>0</v>
      </c>
      <c r="Q45" s="74">
        <f t="shared" si="28"/>
        <v>-116</v>
      </c>
      <c r="R45" s="75">
        <f t="shared" si="28"/>
        <v>-316</v>
      </c>
      <c r="T45" s="74">
        <f t="shared" si="28"/>
        <v>0</v>
      </c>
    </row>
    <row r="46" spans="1:27" ht="6" customHeight="1">
      <c r="C46" s="77"/>
      <c r="D46" s="76"/>
      <c r="E46" s="77"/>
      <c r="F46" s="60"/>
      <c r="G46" s="78"/>
      <c r="H46" s="72"/>
      <c r="I46" s="77"/>
      <c r="J46" s="77"/>
      <c r="K46" s="78"/>
      <c r="L46" s="72"/>
      <c r="M46" s="92"/>
      <c r="N46" s="78"/>
      <c r="O46" s="76"/>
      <c r="P46" s="77"/>
      <c r="Q46" s="77"/>
      <c r="R46" s="78"/>
      <c r="T46" s="77"/>
    </row>
    <row r="47" spans="1:27">
      <c r="A47" s="47" t="s">
        <v>115</v>
      </c>
      <c r="C47" s="71">
        <f>'[3]CAP16.1- Allocations'!D109*0.1932*0.39</f>
        <v>659.83886037889101</v>
      </c>
      <c r="D47" s="71"/>
      <c r="E47" s="71">
        <f>'[3]CAP16.1- Allocations'!E109*0.1932*0.39</f>
        <v>390.2701803040336</v>
      </c>
      <c r="F47" s="60">
        <v>0.2</v>
      </c>
      <c r="G47" s="72">
        <f t="shared" ref="G47:G48" si="29">ROUND(C47*F47,0)</f>
        <v>132</v>
      </c>
      <c r="H47" s="72"/>
      <c r="I47" s="73">
        <v>0</v>
      </c>
      <c r="J47" s="73">
        <f t="shared" ref="J47:J48" si="30">F47*E47</f>
        <v>78.054036060806723</v>
      </c>
      <c r="K47" s="61">
        <f>J47+G47</f>
        <v>210.05403606080671</v>
      </c>
      <c r="L47" s="61"/>
      <c r="M47" s="61">
        <f>ROUND(C47*$M$7,0)</f>
        <v>220</v>
      </c>
      <c r="N47" s="61">
        <f>ROUND(C47*$N$7,0)</f>
        <v>293</v>
      </c>
      <c r="O47" s="73"/>
      <c r="P47" s="73"/>
      <c r="Q47" s="73">
        <f>ROUND(((M47-J47)*-0.35)+P47,0)</f>
        <v>-50</v>
      </c>
      <c r="R47" s="61">
        <f>ROUND(((N47-G47)*-0.35)+Q47,0)</f>
        <v>-106</v>
      </c>
      <c r="T47" s="73"/>
    </row>
    <row r="48" spans="1:27">
      <c r="A48" s="47" t="s">
        <v>116</v>
      </c>
      <c r="C48" s="71">
        <f>'[3]CAP16.1- Allocations'!D109*0.1932*0.61</f>
        <v>1032.0556534131372</v>
      </c>
      <c r="D48" s="71"/>
      <c r="E48" s="71">
        <f>'[3]CAP16.1- Allocations'!E109*0.1932*0.61</f>
        <v>610.42258970630894</v>
      </c>
      <c r="F48" s="60">
        <v>0.23699999999999999</v>
      </c>
      <c r="G48" s="72">
        <f t="shared" si="29"/>
        <v>245</v>
      </c>
      <c r="H48" s="72"/>
      <c r="I48" s="73">
        <v>0</v>
      </c>
      <c r="J48" s="73">
        <f t="shared" si="30"/>
        <v>144.67015376039521</v>
      </c>
      <c r="K48" s="61">
        <f>J48+G48</f>
        <v>389.67015376039524</v>
      </c>
      <c r="L48" s="61"/>
      <c r="M48" s="61">
        <f>ROUND(C48*$M$6,0)</f>
        <v>206</v>
      </c>
      <c r="N48" s="61">
        <f>ROUND(C48*$N$6,0)</f>
        <v>330</v>
      </c>
      <c r="O48" s="73"/>
      <c r="P48" s="73"/>
      <c r="Q48" s="73">
        <f>ROUND(((M48-J48)*-0.35)+P48,0)</f>
        <v>-21</v>
      </c>
      <c r="R48" s="61">
        <f>ROUND(((N48-G48)*-0.35)+Q48,0)</f>
        <v>-51</v>
      </c>
      <c r="T48" s="73"/>
    </row>
    <row r="49" spans="1:26">
      <c r="A49" s="49" t="s">
        <v>79</v>
      </c>
      <c r="C49" s="97">
        <f>SUM(C47:C48)</f>
        <v>1691.8945137920282</v>
      </c>
      <c r="D49" s="71"/>
      <c r="E49" s="97">
        <f>SUM(E47:E48)</f>
        <v>1000.6927700103425</v>
      </c>
      <c r="F49" s="60"/>
      <c r="G49" s="97">
        <f>SUM(G47:G48)</f>
        <v>377</v>
      </c>
      <c r="H49" s="72"/>
      <c r="I49" s="97">
        <f t="shared" ref="I49:K49" si="31">SUM(I47:I48)</f>
        <v>0</v>
      </c>
      <c r="J49" s="97">
        <f t="shared" si="31"/>
        <v>222.72418982120195</v>
      </c>
      <c r="K49" s="97">
        <f t="shared" si="31"/>
        <v>599.72418982120189</v>
      </c>
      <c r="L49" s="61"/>
      <c r="M49" s="97">
        <f t="shared" ref="M49:N49" si="32">SUM(M47:M48)</f>
        <v>426</v>
      </c>
      <c r="N49" s="97">
        <f t="shared" si="32"/>
        <v>623</v>
      </c>
      <c r="O49" s="73"/>
      <c r="P49" s="97">
        <f t="shared" ref="P49:T49" si="33">SUM(P47:P48)</f>
        <v>0</v>
      </c>
      <c r="Q49" s="97">
        <f t="shared" si="33"/>
        <v>-71</v>
      </c>
      <c r="R49" s="97">
        <f t="shared" si="33"/>
        <v>-157</v>
      </c>
      <c r="T49" s="97">
        <f t="shared" si="33"/>
        <v>0</v>
      </c>
    </row>
    <row r="50" spans="1:26">
      <c r="C50" s="77"/>
      <c r="D50" s="76"/>
      <c r="E50" s="77"/>
      <c r="F50" s="60"/>
      <c r="G50" s="77"/>
      <c r="H50" s="72"/>
      <c r="I50" s="77"/>
      <c r="J50" s="77"/>
      <c r="K50" s="77"/>
      <c r="L50" s="72"/>
      <c r="M50" s="77"/>
      <c r="N50" s="77"/>
      <c r="O50" s="76"/>
      <c r="P50" s="77"/>
      <c r="Q50" s="77"/>
      <c r="R50" s="77"/>
      <c r="T50" s="77"/>
    </row>
    <row r="51" spans="1:26" s="88" customFormat="1" ht="13.5" thickBot="1">
      <c r="A51" s="88" t="s">
        <v>28</v>
      </c>
      <c r="C51" s="93">
        <f>SUM(C35,C41,C45,C49,)</f>
        <v>8756.3422584919717</v>
      </c>
      <c r="D51" s="86"/>
      <c r="E51" s="93">
        <f>SUM(E35,E41,E45,E49,)</f>
        <v>5179.0512460317877</v>
      </c>
      <c r="F51" s="52"/>
      <c r="G51" s="93">
        <f>SUM(G35,G41,G45,G49,)</f>
        <v>848</v>
      </c>
      <c r="H51" s="86"/>
      <c r="I51" s="93">
        <f t="shared" ref="I51:K51" si="34">SUM(I35,I41,I45,I49,)</f>
        <v>0</v>
      </c>
      <c r="J51" s="93">
        <f t="shared" si="34"/>
        <v>501.00286432423025</v>
      </c>
      <c r="K51" s="93">
        <f t="shared" si="34"/>
        <v>1349.0028643242301</v>
      </c>
      <c r="L51" s="86"/>
      <c r="M51" s="93">
        <f t="shared" ref="M51:N51" si="35">SUM(M35,M41,M45,M49,)</f>
        <v>1029</v>
      </c>
      <c r="N51" s="93">
        <f t="shared" si="35"/>
        <v>1687</v>
      </c>
      <c r="O51" s="87"/>
      <c r="P51" s="93">
        <f t="shared" ref="P51:T51" si="36">SUM(P35,P41,P45,P49,)</f>
        <v>0</v>
      </c>
      <c r="Q51" s="93">
        <f t="shared" si="36"/>
        <v>-185</v>
      </c>
      <c r="R51" s="93">
        <f t="shared" si="36"/>
        <v>-478</v>
      </c>
      <c r="T51" s="85">
        <f t="shared" si="36"/>
        <v>0</v>
      </c>
      <c r="U51" s="84"/>
    </row>
    <row r="52" spans="1:26">
      <c r="C52" s="146" t="s">
        <v>118</v>
      </c>
      <c r="E52" s="146" t="s">
        <v>118</v>
      </c>
      <c r="J52" s="146" t="s">
        <v>118</v>
      </c>
      <c r="M52" s="146" t="s">
        <v>118</v>
      </c>
      <c r="Q52" s="146" t="s">
        <v>118</v>
      </c>
    </row>
    <row r="53" spans="1:26">
      <c r="J53" s="94"/>
      <c r="Z53" s="94"/>
    </row>
    <row r="54" spans="1:26">
      <c r="C54" s="94"/>
      <c r="D54" s="145"/>
      <c r="E54" s="94"/>
      <c r="J54" s="94"/>
    </row>
    <row r="55" spans="1:26">
      <c r="J55" s="94"/>
    </row>
    <row r="56" spans="1:26">
      <c r="J56" s="94"/>
    </row>
  </sheetData>
  <mergeCells count="3">
    <mergeCell ref="I9:K9"/>
    <mergeCell ref="M9:N9"/>
    <mergeCell ref="P9:R9"/>
  </mergeCells>
  <pageMargins left="1" right="1" top="1" bottom="1" header="0.5" footer="0.5"/>
  <pageSetup scale="61" orientation="landscape" r:id="rId1"/>
  <headerFooter scaleWithDoc="0" alignWithMargins="0">
    <oddHeader>&amp;R&amp;A</oddHeader>
    <oddFooter>&amp;RPage &amp;P of &amp;N
KKS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workbookViewId="0">
      <selection activeCell="G25" sqref="G25"/>
    </sheetView>
  </sheetViews>
  <sheetFormatPr defaultRowHeight="12.75"/>
  <cols>
    <col min="1" max="1" width="4.7109375" style="167" customWidth="1"/>
    <col min="2" max="3" width="1.7109375" style="168" customWidth="1"/>
    <col min="4" max="4" width="35.42578125" style="168" customWidth="1"/>
    <col min="5" max="6" width="14.42578125" style="163" customWidth="1"/>
    <col min="7" max="7" width="16.7109375" style="162" customWidth="1"/>
    <col min="8" max="8" width="18.42578125" style="162" customWidth="1"/>
    <col min="9" max="9" width="14.42578125" style="163" customWidth="1"/>
  </cols>
  <sheetData>
    <row r="1" spans="1:9">
      <c r="F1" s="279" t="s">
        <v>273</v>
      </c>
      <c r="G1" s="280"/>
      <c r="H1" s="280"/>
      <c r="I1" s="281"/>
    </row>
    <row r="2" spans="1:9">
      <c r="A2" s="169" t="s">
        <v>149</v>
      </c>
      <c r="D2" s="167"/>
      <c r="F2" s="282"/>
      <c r="G2" s="283"/>
      <c r="H2" s="283"/>
      <c r="I2" s="284"/>
    </row>
    <row r="3" spans="1:9">
      <c r="A3" s="169" t="s">
        <v>150</v>
      </c>
      <c r="D3" s="167"/>
      <c r="F3" s="285"/>
      <c r="G3" s="286"/>
      <c r="H3" s="286"/>
      <c r="I3" s="287"/>
    </row>
    <row r="4" spans="1:9" ht="12.75" customHeight="1">
      <c r="A4" s="169" t="s">
        <v>151</v>
      </c>
      <c r="D4" s="167"/>
      <c r="E4" s="288" t="s">
        <v>148</v>
      </c>
      <c r="F4" s="288" t="s">
        <v>207</v>
      </c>
      <c r="G4" s="288" t="s">
        <v>210</v>
      </c>
      <c r="H4" s="290" t="s">
        <v>209</v>
      </c>
      <c r="I4" s="290" t="s">
        <v>211</v>
      </c>
    </row>
    <row r="5" spans="1:9">
      <c r="A5" s="169" t="s">
        <v>152</v>
      </c>
      <c r="D5" s="167"/>
      <c r="E5" s="289"/>
      <c r="F5" s="289"/>
      <c r="G5" s="289"/>
      <c r="H5" s="291"/>
      <c r="I5" s="291"/>
    </row>
    <row r="6" spans="1:9">
      <c r="A6" s="169" t="s">
        <v>153</v>
      </c>
      <c r="B6" s="170"/>
      <c r="C6" s="170"/>
      <c r="D6" s="171"/>
      <c r="E6" s="160"/>
      <c r="F6" s="160"/>
      <c r="G6"/>
      <c r="H6"/>
      <c r="I6" s="160"/>
    </row>
    <row r="7" spans="1:9">
      <c r="A7" s="172"/>
      <c r="B7" s="173"/>
      <c r="C7" s="174"/>
      <c r="D7" s="174"/>
      <c r="E7" s="192" t="s">
        <v>145</v>
      </c>
      <c r="F7" s="243"/>
      <c r="G7" s="244"/>
      <c r="H7" s="192" t="s">
        <v>208</v>
      </c>
      <c r="I7" s="161"/>
    </row>
    <row r="8" spans="1:9">
      <c r="A8" s="175" t="s">
        <v>154</v>
      </c>
      <c r="B8" s="176"/>
      <c r="C8" s="177"/>
      <c r="D8" s="177"/>
      <c r="E8" s="224" t="s">
        <v>146</v>
      </c>
      <c r="F8" s="228"/>
      <c r="G8" s="228"/>
      <c r="H8" s="240" t="s">
        <v>268</v>
      </c>
      <c r="I8" s="164"/>
    </row>
    <row r="9" spans="1:9" ht="11.25" customHeight="1">
      <c r="A9" s="178" t="s">
        <v>155</v>
      </c>
      <c r="B9" s="179"/>
      <c r="C9" s="180"/>
      <c r="D9" s="180" t="s">
        <v>156</v>
      </c>
      <c r="E9" s="225"/>
      <c r="F9" s="228"/>
      <c r="G9" s="228"/>
      <c r="H9" s="241" t="s">
        <v>269</v>
      </c>
      <c r="I9" s="165"/>
    </row>
    <row r="10" spans="1:9">
      <c r="A10" s="181"/>
      <c r="B10" s="182" t="s">
        <v>157</v>
      </c>
      <c r="C10" s="181"/>
      <c r="D10" s="181"/>
      <c r="E10" s="226" t="s">
        <v>147</v>
      </c>
      <c r="F10" s="228"/>
      <c r="G10" s="228"/>
      <c r="H10" s="192" t="s">
        <v>270</v>
      </c>
      <c r="I10" s="166"/>
    </row>
    <row r="11" spans="1:9">
      <c r="A11" s="181"/>
      <c r="B11" s="182" t="s">
        <v>158</v>
      </c>
      <c r="C11" s="181"/>
      <c r="D11" s="181"/>
      <c r="E11" s="227"/>
      <c r="F11" s="228"/>
      <c r="G11" s="228"/>
      <c r="H11" s="241" t="s">
        <v>271</v>
      </c>
      <c r="I11" s="166"/>
    </row>
    <row r="12" spans="1:9">
      <c r="A12" s="181"/>
      <c r="B12" s="182"/>
      <c r="C12" s="181"/>
      <c r="D12" s="181"/>
      <c r="E12" s="228"/>
      <c r="F12" s="228"/>
      <c r="G12" s="228"/>
      <c r="H12" s="247"/>
      <c r="I12" s="245"/>
    </row>
    <row r="13" spans="1:9">
      <c r="B13" s="168" t="s">
        <v>159</v>
      </c>
      <c r="E13" s="229"/>
      <c r="F13" s="229"/>
      <c r="G13" s="229"/>
      <c r="H13" s="248"/>
      <c r="I13" s="246"/>
    </row>
    <row r="14" spans="1:9">
      <c r="A14" s="183">
        <v>1</v>
      </c>
      <c r="B14" s="184" t="s">
        <v>160</v>
      </c>
      <c r="C14" s="184"/>
      <c r="D14" s="184"/>
      <c r="E14" s="229">
        <v>499059</v>
      </c>
      <c r="F14" s="229"/>
      <c r="G14" s="229"/>
      <c r="H14" s="242">
        <v>0</v>
      </c>
      <c r="I14" s="242">
        <f>G14-H14</f>
        <v>0</v>
      </c>
    </row>
    <row r="15" spans="1:9">
      <c r="A15" s="183">
        <v>2</v>
      </c>
      <c r="B15" s="185" t="s">
        <v>161</v>
      </c>
      <c r="C15" s="185"/>
      <c r="D15" s="185"/>
      <c r="E15" s="230">
        <v>923</v>
      </c>
      <c r="F15" s="230"/>
      <c r="G15" s="230"/>
      <c r="H15" s="162">
        <v>0</v>
      </c>
      <c r="I15" s="162">
        <f t="shared" ref="I15:I78" si="0">G15-H15</f>
        <v>0</v>
      </c>
    </row>
    <row r="16" spans="1:9">
      <c r="A16" s="183">
        <v>3</v>
      </c>
      <c r="B16" s="185" t="s">
        <v>162</v>
      </c>
      <c r="C16" s="185"/>
      <c r="D16" s="185"/>
      <c r="E16" s="231">
        <v>46021</v>
      </c>
      <c r="F16" s="231"/>
      <c r="G16" s="231"/>
      <c r="H16" s="162">
        <v>0</v>
      </c>
      <c r="I16" s="162">
        <f t="shared" si="0"/>
        <v>0</v>
      </c>
    </row>
    <row r="17" spans="1:9">
      <c r="A17" s="183">
        <v>4</v>
      </c>
      <c r="B17" s="185" t="s">
        <v>163</v>
      </c>
      <c r="C17" s="185"/>
      <c r="D17" s="185"/>
      <c r="E17" s="232">
        <v>546003</v>
      </c>
      <c r="F17" s="232"/>
      <c r="G17" s="232"/>
      <c r="H17" s="232">
        <v>0</v>
      </c>
      <c r="I17" s="249">
        <f t="shared" si="0"/>
        <v>0</v>
      </c>
    </row>
    <row r="18" spans="1:9">
      <c r="A18" s="183">
        <v>5</v>
      </c>
      <c r="B18" s="185" t="s">
        <v>164</v>
      </c>
      <c r="C18" s="185"/>
      <c r="D18" s="185"/>
      <c r="E18" s="233">
        <v>14293</v>
      </c>
      <c r="F18" s="233"/>
      <c r="G18" s="233"/>
      <c r="H18" s="162">
        <v>0</v>
      </c>
      <c r="I18" s="162">
        <f t="shared" si="0"/>
        <v>0</v>
      </c>
    </row>
    <row r="19" spans="1:9">
      <c r="A19" s="183">
        <v>6</v>
      </c>
      <c r="B19" s="185" t="s">
        <v>165</v>
      </c>
      <c r="C19" s="185"/>
      <c r="D19" s="185"/>
      <c r="E19" s="231">
        <v>560296</v>
      </c>
      <c r="F19" s="231"/>
      <c r="G19" s="231"/>
      <c r="H19" s="162">
        <v>0</v>
      </c>
      <c r="I19" s="162">
        <f t="shared" si="0"/>
        <v>0</v>
      </c>
    </row>
    <row r="20" spans="1:9">
      <c r="A20" s="183"/>
      <c r="B20" s="185"/>
      <c r="C20" s="185"/>
      <c r="D20" s="185"/>
      <c r="E20" s="231"/>
      <c r="F20" s="231"/>
      <c r="G20" s="231"/>
      <c r="I20" s="162">
        <f t="shared" si="0"/>
        <v>0</v>
      </c>
    </row>
    <row r="21" spans="1:9">
      <c r="A21" s="183"/>
      <c r="B21" s="185" t="s">
        <v>166</v>
      </c>
      <c r="C21" s="185"/>
      <c r="D21" s="185"/>
      <c r="E21" s="231"/>
      <c r="F21" s="231"/>
      <c r="G21" s="231"/>
      <c r="I21" s="162">
        <f t="shared" si="0"/>
        <v>0</v>
      </c>
    </row>
    <row r="22" spans="1:9">
      <c r="A22" s="183"/>
      <c r="B22" s="185" t="s">
        <v>167</v>
      </c>
      <c r="C22" s="185"/>
      <c r="D22" s="185"/>
      <c r="E22" s="231">
        <v>0</v>
      </c>
      <c r="F22" s="231"/>
      <c r="G22" s="231"/>
      <c r="I22" s="162">
        <f t="shared" si="0"/>
        <v>0</v>
      </c>
    </row>
    <row r="23" spans="1:9">
      <c r="A23" s="183">
        <v>7</v>
      </c>
      <c r="B23" s="185"/>
      <c r="C23" s="185" t="s">
        <v>168</v>
      </c>
      <c r="D23" s="185"/>
      <c r="E23" s="231">
        <v>152688.28950000001</v>
      </c>
      <c r="F23" s="231"/>
      <c r="G23" s="231"/>
      <c r="H23" s="162">
        <v>0</v>
      </c>
      <c r="I23" s="162">
        <f t="shared" si="0"/>
        <v>0</v>
      </c>
    </row>
    <row r="24" spans="1:9">
      <c r="A24" s="183">
        <v>8</v>
      </c>
      <c r="B24" s="185"/>
      <c r="C24" s="185" t="s">
        <v>169</v>
      </c>
      <c r="D24" s="185"/>
      <c r="E24" s="232">
        <v>78525</v>
      </c>
      <c r="F24" s="232"/>
      <c r="G24" s="232"/>
      <c r="H24" s="162">
        <v>0</v>
      </c>
      <c r="I24" s="162">
        <f t="shared" si="0"/>
        <v>0</v>
      </c>
    </row>
    <row r="25" spans="1:9">
      <c r="A25" s="183">
        <v>9</v>
      </c>
      <c r="B25" s="185"/>
      <c r="C25" s="185" t="s">
        <v>170</v>
      </c>
      <c r="D25" s="185"/>
      <c r="E25" s="233">
        <v>24529</v>
      </c>
      <c r="F25" s="233">
        <f>'Recreate DR 131 Att. D Pg 7'!B11+'Recreate DR 131 Att. D Pg 7'!B12</f>
        <v>23151</v>
      </c>
      <c r="G25" s="233">
        <f>F25-E25</f>
        <v>-1378</v>
      </c>
      <c r="H25" s="162">
        <v>-1378</v>
      </c>
      <c r="I25" s="162">
        <f t="shared" si="0"/>
        <v>0</v>
      </c>
    </row>
    <row r="26" spans="1:9">
      <c r="A26" s="183">
        <v>10</v>
      </c>
      <c r="B26" s="185"/>
      <c r="C26" s="186" t="s">
        <v>171</v>
      </c>
      <c r="D26" s="186"/>
      <c r="E26" s="233">
        <v>4697</v>
      </c>
      <c r="F26" s="233"/>
      <c r="G26" s="233"/>
      <c r="I26" s="162">
        <f t="shared" si="0"/>
        <v>0</v>
      </c>
    </row>
    <row r="27" spans="1:9">
      <c r="A27" s="183">
        <v>11</v>
      </c>
      <c r="B27" s="185"/>
      <c r="C27" s="185" t="s">
        <v>172</v>
      </c>
      <c r="D27" s="185"/>
      <c r="E27" s="231">
        <v>15750</v>
      </c>
      <c r="F27" s="231"/>
      <c r="G27" s="231"/>
      <c r="H27" s="162">
        <v>0</v>
      </c>
      <c r="I27" s="162">
        <f t="shared" si="0"/>
        <v>0</v>
      </c>
    </row>
    <row r="28" spans="1:9">
      <c r="A28" s="183">
        <v>12</v>
      </c>
      <c r="B28" s="185" t="s">
        <v>173</v>
      </c>
      <c r="C28" s="185"/>
      <c r="D28" s="185"/>
      <c r="E28" s="231">
        <v>276189.28950000001</v>
      </c>
      <c r="F28" s="231"/>
      <c r="G28" s="231">
        <f>SUM(G23:G27)</f>
        <v>-1378</v>
      </c>
      <c r="H28" s="162">
        <v>-1378</v>
      </c>
      <c r="I28" s="162">
        <f t="shared" si="0"/>
        <v>0</v>
      </c>
    </row>
    <row r="29" spans="1:9">
      <c r="A29" s="183"/>
      <c r="B29" s="185"/>
      <c r="C29" s="185"/>
      <c r="D29" s="185"/>
      <c r="E29" s="231"/>
      <c r="F29" s="231"/>
      <c r="G29" s="231"/>
      <c r="I29" s="162">
        <f t="shared" si="0"/>
        <v>0</v>
      </c>
    </row>
    <row r="30" spans="1:9">
      <c r="A30" s="183"/>
      <c r="B30" s="185" t="s">
        <v>174</v>
      </c>
      <c r="C30" s="185"/>
      <c r="D30" s="185"/>
      <c r="E30" s="232">
        <v>0</v>
      </c>
      <c r="F30" s="232"/>
      <c r="G30" s="232"/>
      <c r="I30" s="162">
        <f t="shared" si="0"/>
        <v>0</v>
      </c>
    </row>
    <row r="31" spans="1:9">
      <c r="A31" s="183">
        <v>13</v>
      </c>
      <c r="B31" s="185"/>
      <c r="C31" s="185" t="s">
        <v>168</v>
      </c>
      <c r="D31" s="185"/>
      <c r="E31" s="233">
        <v>21504</v>
      </c>
      <c r="F31" s="233"/>
      <c r="G31" s="233"/>
      <c r="H31" s="162">
        <v>0</v>
      </c>
      <c r="I31" s="162">
        <f t="shared" si="0"/>
        <v>0</v>
      </c>
    </row>
    <row r="32" spans="1:9">
      <c r="A32" s="183">
        <v>14</v>
      </c>
      <c r="B32" s="185"/>
      <c r="C32" s="185" t="s">
        <v>175</v>
      </c>
      <c r="D32" s="185"/>
      <c r="E32" s="233">
        <v>24525</v>
      </c>
      <c r="F32" s="233">
        <f>'Recreate DR 131 Att. D Pg 7'!B13</f>
        <v>23860</v>
      </c>
      <c r="G32" s="233">
        <f>F32-E32</f>
        <v>-665</v>
      </c>
      <c r="H32" s="162">
        <v>-665</v>
      </c>
      <c r="I32" s="162">
        <f t="shared" si="0"/>
        <v>0</v>
      </c>
    </row>
    <row r="33" spans="1:9">
      <c r="A33" s="183">
        <v>15</v>
      </c>
      <c r="B33" s="185"/>
      <c r="C33" s="185" t="s">
        <v>172</v>
      </c>
      <c r="D33" s="185"/>
      <c r="E33" s="231">
        <v>27325</v>
      </c>
      <c r="F33" s="231"/>
      <c r="G33" s="231"/>
      <c r="H33" s="162">
        <v>0</v>
      </c>
      <c r="I33" s="162">
        <f t="shared" si="0"/>
        <v>0</v>
      </c>
    </row>
    <row r="34" spans="1:9">
      <c r="A34" s="183">
        <v>16</v>
      </c>
      <c r="B34" s="185" t="s">
        <v>176</v>
      </c>
      <c r="C34" s="185"/>
      <c r="D34" s="185"/>
      <c r="E34" s="231">
        <v>73354</v>
      </c>
      <c r="F34" s="231"/>
      <c r="G34" s="231">
        <f>SUM(G31:G33)</f>
        <v>-665</v>
      </c>
      <c r="H34" s="162">
        <v>-665</v>
      </c>
      <c r="I34" s="162">
        <f t="shared" si="0"/>
        <v>0</v>
      </c>
    </row>
    <row r="35" spans="1:9">
      <c r="A35" s="185"/>
      <c r="B35" s="185"/>
      <c r="C35" s="185"/>
      <c r="D35" s="185"/>
      <c r="E35" s="231"/>
      <c r="F35" s="231"/>
      <c r="G35" s="231"/>
      <c r="I35" s="162">
        <f t="shared" si="0"/>
        <v>0</v>
      </c>
    </row>
    <row r="36" spans="1:9">
      <c r="A36" s="183">
        <v>17</v>
      </c>
      <c r="B36" s="185" t="s">
        <v>177</v>
      </c>
      <c r="C36" s="185"/>
      <c r="D36" s="185"/>
      <c r="E36" s="232">
        <v>12298</v>
      </c>
      <c r="F36" s="232"/>
      <c r="G36" s="232"/>
      <c r="H36" s="162">
        <v>0</v>
      </c>
      <c r="I36" s="162">
        <f t="shared" si="0"/>
        <v>0</v>
      </c>
    </row>
    <row r="37" spans="1:9">
      <c r="A37" s="183">
        <v>18</v>
      </c>
      <c r="B37" s="185" t="s">
        <v>178</v>
      </c>
      <c r="C37" s="185"/>
      <c r="D37" s="185"/>
      <c r="E37" s="233">
        <v>1488</v>
      </c>
      <c r="F37" s="233"/>
      <c r="G37" s="233"/>
      <c r="H37" s="162">
        <v>0</v>
      </c>
      <c r="I37" s="162">
        <f t="shared" si="0"/>
        <v>0</v>
      </c>
    </row>
    <row r="38" spans="1:9">
      <c r="A38" s="183">
        <v>19</v>
      </c>
      <c r="B38" s="185" t="s">
        <v>179</v>
      </c>
      <c r="C38" s="185"/>
      <c r="D38" s="185"/>
      <c r="E38" s="233">
        <v>0.20499999999999999</v>
      </c>
      <c r="F38" s="233"/>
      <c r="G38" s="233"/>
      <c r="H38" s="162">
        <v>0</v>
      </c>
      <c r="I38" s="162">
        <f t="shared" si="0"/>
        <v>0</v>
      </c>
    </row>
    <row r="39" spans="1:9">
      <c r="A39" s="183"/>
      <c r="B39" s="185"/>
      <c r="C39" s="185"/>
      <c r="D39" s="185"/>
      <c r="E39" s="231"/>
      <c r="F39" s="231"/>
      <c r="G39" s="231"/>
      <c r="I39" s="162">
        <f t="shared" si="0"/>
        <v>0</v>
      </c>
    </row>
    <row r="40" spans="1:9">
      <c r="A40" s="185"/>
      <c r="B40" s="185" t="s">
        <v>180</v>
      </c>
      <c r="C40" s="185"/>
      <c r="D40" s="185"/>
      <c r="E40" s="231"/>
      <c r="F40" s="231"/>
      <c r="G40" s="231"/>
      <c r="I40" s="162">
        <f t="shared" si="0"/>
        <v>0</v>
      </c>
    </row>
    <row r="41" spans="1:9">
      <c r="A41" s="183">
        <v>20</v>
      </c>
      <c r="B41" s="185"/>
      <c r="C41" s="185" t="s">
        <v>168</v>
      </c>
      <c r="D41" s="185"/>
      <c r="E41" s="231">
        <v>47510</v>
      </c>
      <c r="F41" s="231"/>
      <c r="G41" s="231"/>
      <c r="H41" s="162">
        <v>0</v>
      </c>
      <c r="I41" s="162">
        <f t="shared" si="0"/>
        <v>0</v>
      </c>
    </row>
    <row r="42" spans="1:9">
      <c r="A42" s="183">
        <v>21</v>
      </c>
      <c r="B42" s="185"/>
      <c r="C42" s="185" t="s">
        <v>175</v>
      </c>
      <c r="D42" s="185"/>
      <c r="E42" s="231">
        <v>19103</v>
      </c>
      <c r="F42" s="231">
        <f>'Recreate DR 131 Att. D Pg 7'!B10+'Recreate DR 131 Att. D Pg 7'!B14+'Recreate DR 131 Att. D Pg 7'!B17</f>
        <v>18971</v>
      </c>
      <c r="G42" s="231">
        <f>F42-E42</f>
        <v>-132</v>
      </c>
      <c r="H42" s="162">
        <v>-132</v>
      </c>
      <c r="I42" s="162">
        <f t="shared" si="0"/>
        <v>0</v>
      </c>
    </row>
    <row r="43" spans="1:9">
      <c r="A43" s="187">
        <v>22</v>
      </c>
      <c r="B43" s="185"/>
      <c r="C43" s="185" t="s">
        <v>172</v>
      </c>
      <c r="D43" s="185"/>
      <c r="E43" s="231">
        <v>0</v>
      </c>
      <c r="F43" s="231"/>
      <c r="G43" s="231"/>
      <c r="H43" s="162">
        <v>0</v>
      </c>
      <c r="I43" s="162">
        <f t="shared" si="0"/>
        <v>0</v>
      </c>
    </row>
    <row r="44" spans="1:9">
      <c r="A44" s="183">
        <v>23</v>
      </c>
      <c r="B44" s="185" t="s">
        <v>181</v>
      </c>
      <c r="C44" s="185"/>
      <c r="D44" s="185"/>
      <c r="E44" s="231">
        <v>66613</v>
      </c>
      <c r="F44" s="231"/>
      <c r="G44" s="231">
        <f>SUM(G41:G43)</f>
        <v>-132</v>
      </c>
      <c r="H44" s="162">
        <v>-132</v>
      </c>
      <c r="I44" s="162">
        <f t="shared" si="0"/>
        <v>0</v>
      </c>
    </row>
    <row r="45" spans="1:9">
      <c r="A45" s="183">
        <v>24</v>
      </c>
      <c r="B45" s="185" t="s">
        <v>182</v>
      </c>
      <c r="C45" s="185"/>
      <c r="D45" s="185"/>
      <c r="E45" s="231">
        <v>429942.49450000003</v>
      </c>
      <c r="F45" s="231"/>
      <c r="G45" s="231">
        <f>G44+G38+G37+G36+G34+G28</f>
        <v>-2175</v>
      </c>
      <c r="H45" s="162">
        <v>-2175</v>
      </c>
      <c r="I45" s="162">
        <f t="shared" si="0"/>
        <v>0</v>
      </c>
    </row>
    <row r="46" spans="1:9">
      <c r="A46" s="185"/>
      <c r="B46" s="185"/>
      <c r="C46" s="185"/>
      <c r="D46" s="185"/>
      <c r="E46" s="231"/>
      <c r="F46" s="231"/>
      <c r="G46" s="231"/>
      <c r="I46" s="162">
        <f t="shared" si="0"/>
        <v>0</v>
      </c>
    </row>
    <row r="47" spans="1:9">
      <c r="A47" s="183">
        <v>25</v>
      </c>
      <c r="B47" s="185" t="s">
        <v>183</v>
      </c>
      <c r="C47" s="185"/>
      <c r="D47" s="185"/>
      <c r="E47" s="232">
        <v>130353.50549999997</v>
      </c>
      <c r="F47" s="232"/>
      <c r="G47" s="232">
        <f>G19-G45</f>
        <v>2175</v>
      </c>
      <c r="H47" s="162">
        <v>2175</v>
      </c>
      <c r="I47" s="162">
        <f t="shared" si="0"/>
        <v>0</v>
      </c>
    </row>
    <row r="48" spans="1:9">
      <c r="A48" s="183"/>
      <c r="B48" s="185"/>
      <c r="C48" s="185"/>
      <c r="D48" s="185"/>
      <c r="E48" s="234"/>
      <c r="F48" s="234"/>
      <c r="G48" s="234"/>
      <c r="I48" s="162">
        <f t="shared" si="0"/>
        <v>0</v>
      </c>
    </row>
    <row r="49" spans="1:9">
      <c r="A49" s="188"/>
      <c r="B49" s="185" t="s">
        <v>184</v>
      </c>
      <c r="C49" s="185"/>
      <c r="D49" s="185"/>
      <c r="E49" s="234"/>
      <c r="F49" s="234"/>
      <c r="G49" s="234"/>
      <c r="I49" s="162">
        <f t="shared" si="0"/>
        <v>0</v>
      </c>
    </row>
    <row r="50" spans="1:9">
      <c r="A50" s="187">
        <v>26</v>
      </c>
      <c r="B50" s="185" t="s">
        <v>185</v>
      </c>
      <c r="C50" s="185"/>
      <c r="D50" s="189"/>
      <c r="E50" s="233">
        <v>25637.326924999994</v>
      </c>
      <c r="F50" s="233"/>
      <c r="G50" s="233">
        <f>G47*0.35</f>
        <v>761.25</v>
      </c>
      <c r="H50" s="162">
        <v>761.25</v>
      </c>
      <c r="I50" s="162">
        <f t="shared" si="0"/>
        <v>0</v>
      </c>
    </row>
    <row r="51" spans="1:9">
      <c r="A51" s="183">
        <v>27</v>
      </c>
      <c r="B51" s="186" t="s">
        <v>186</v>
      </c>
      <c r="C51" s="186"/>
      <c r="D51" s="186"/>
      <c r="E51" s="233">
        <v>-402.09760499999993</v>
      </c>
      <c r="F51" s="233"/>
      <c r="G51" s="233">
        <f>(G79*0.0268)*-0.35</f>
        <v>370.21921999999995</v>
      </c>
      <c r="H51" s="162">
        <v>370.21921999999995</v>
      </c>
      <c r="I51" s="162">
        <f t="shared" si="0"/>
        <v>0</v>
      </c>
    </row>
    <row r="52" spans="1:9">
      <c r="A52" s="183">
        <v>28</v>
      </c>
      <c r="B52" s="185" t="s">
        <v>187</v>
      </c>
      <c r="C52" s="185"/>
      <c r="D52" s="185"/>
      <c r="E52" s="233">
        <v>8293</v>
      </c>
      <c r="F52" s="233"/>
      <c r="G52" s="233"/>
      <c r="H52" s="162">
        <v>0</v>
      </c>
      <c r="I52" s="162">
        <f t="shared" si="0"/>
        <v>0</v>
      </c>
    </row>
    <row r="53" spans="1:9">
      <c r="A53" s="188">
        <v>29</v>
      </c>
      <c r="B53" s="185" t="s">
        <v>188</v>
      </c>
      <c r="C53" s="185"/>
      <c r="D53" s="185"/>
      <c r="E53" s="231">
        <v>-130</v>
      </c>
      <c r="F53" s="231"/>
      <c r="G53" s="231"/>
      <c r="H53" s="162">
        <v>0</v>
      </c>
      <c r="I53" s="162">
        <f t="shared" si="0"/>
        <v>0</v>
      </c>
    </row>
    <row r="54" spans="1:9">
      <c r="E54" s="231"/>
      <c r="F54" s="231"/>
      <c r="G54" s="231"/>
      <c r="I54" s="162">
        <f t="shared" si="0"/>
        <v>0</v>
      </c>
    </row>
    <row r="55" spans="1:9">
      <c r="A55" s="190">
        <v>30</v>
      </c>
      <c r="B55" s="184" t="s">
        <v>189</v>
      </c>
      <c r="C55" s="184"/>
      <c r="D55" s="184"/>
      <c r="E55" s="231">
        <v>96955.276180000001</v>
      </c>
      <c r="F55" s="231"/>
      <c r="G55" s="231">
        <f>G47-SUM(G50:G53)</f>
        <v>1043.53078</v>
      </c>
      <c r="H55" s="242">
        <v>1043.53078</v>
      </c>
      <c r="I55" s="162">
        <f t="shared" si="0"/>
        <v>0</v>
      </c>
    </row>
    <row r="56" spans="1:9">
      <c r="A56" s="190"/>
      <c r="E56" s="231"/>
      <c r="F56" s="231"/>
      <c r="G56" s="231"/>
      <c r="I56" s="162">
        <f t="shared" si="0"/>
        <v>0</v>
      </c>
    </row>
    <row r="57" spans="1:9">
      <c r="A57" s="190"/>
      <c r="B57" s="168" t="s">
        <v>190</v>
      </c>
      <c r="E57" s="232"/>
      <c r="F57" s="232"/>
      <c r="G57" s="232"/>
      <c r="I57" s="162">
        <f t="shared" si="0"/>
        <v>0</v>
      </c>
    </row>
    <row r="58" spans="1:9">
      <c r="B58" s="168" t="s">
        <v>191</v>
      </c>
      <c r="E58" s="233"/>
      <c r="F58" s="233"/>
      <c r="G58" s="233"/>
      <c r="I58" s="162">
        <f t="shared" si="0"/>
        <v>0</v>
      </c>
    </row>
    <row r="59" spans="1:9" ht="13.5" thickBot="1">
      <c r="A59" s="191">
        <v>31</v>
      </c>
      <c r="B59" s="184"/>
      <c r="C59" s="184" t="s">
        <v>192</v>
      </c>
      <c r="D59" s="184"/>
      <c r="E59" s="235">
        <v>109483</v>
      </c>
      <c r="F59" s="235">
        <f>'Recreate DR 131 Att. D Pg 7'!B25</f>
        <v>106535</v>
      </c>
      <c r="G59" s="235">
        <f t="shared" ref="G59:G63" si="1">F59-E59</f>
        <v>-2948</v>
      </c>
      <c r="H59" s="242">
        <v>-2948</v>
      </c>
      <c r="I59" s="162">
        <f t="shared" si="0"/>
        <v>0</v>
      </c>
    </row>
    <row r="60" spans="1:9" ht="13.5" thickTop="1">
      <c r="A60" s="190">
        <v>32</v>
      </c>
      <c r="B60" s="185"/>
      <c r="C60" s="185" t="s">
        <v>193</v>
      </c>
      <c r="D60" s="185"/>
      <c r="E60" s="233">
        <v>768953</v>
      </c>
      <c r="F60" s="233">
        <f>'Recreate DR 131 Att. D Pg 7'!B26</f>
        <v>757122</v>
      </c>
      <c r="G60" s="233">
        <f t="shared" si="1"/>
        <v>-11831</v>
      </c>
      <c r="H60" s="162">
        <v>-11831</v>
      </c>
      <c r="I60" s="162">
        <f t="shared" si="0"/>
        <v>0</v>
      </c>
    </row>
    <row r="61" spans="1:9">
      <c r="A61" s="190">
        <v>33</v>
      </c>
      <c r="B61" s="185"/>
      <c r="C61" s="185" t="s">
        <v>194</v>
      </c>
      <c r="D61" s="185"/>
      <c r="E61" s="233">
        <v>392792</v>
      </c>
      <c r="F61" s="233">
        <f>'Recreate DR 131 Att. D Pg 7'!B27</f>
        <v>390213</v>
      </c>
      <c r="G61" s="233">
        <f t="shared" si="1"/>
        <v>-2579</v>
      </c>
      <c r="H61" s="162">
        <v>-2579</v>
      </c>
      <c r="I61" s="162">
        <f t="shared" si="0"/>
        <v>0</v>
      </c>
    </row>
    <row r="62" spans="1:9">
      <c r="A62" s="190">
        <v>34</v>
      </c>
      <c r="B62" s="185"/>
      <c r="C62" s="185" t="s">
        <v>174</v>
      </c>
      <c r="D62" s="185"/>
      <c r="E62" s="231">
        <v>864014</v>
      </c>
      <c r="F62" s="231">
        <f>'Recreate DR 131 Att. D Pg 7'!B28+'Recreate DR 131 Att. D Pg 7'!E28</f>
        <v>860651</v>
      </c>
      <c r="G62" s="231">
        <f t="shared" si="1"/>
        <v>-3363</v>
      </c>
      <c r="H62" s="162">
        <v>-3363</v>
      </c>
      <c r="I62" s="162">
        <f t="shared" si="0"/>
        <v>0</v>
      </c>
    </row>
    <row r="63" spans="1:9">
      <c r="A63" s="190">
        <v>35</v>
      </c>
      <c r="B63" s="185"/>
      <c r="C63" s="185" t="s">
        <v>195</v>
      </c>
      <c r="D63" s="185"/>
      <c r="E63" s="230">
        <v>202034</v>
      </c>
      <c r="F63" s="230">
        <f>'Recreate DR 131 Att. D Pg 7'!B29</f>
        <v>200196</v>
      </c>
      <c r="G63" s="230">
        <f t="shared" si="1"/>
        <v>-1838</v>
      </c>
      <c r="H63" s="162">
        <v>-1838</v>
      </c>
      <c r="I63" s="162">
        <f t="shared" si="0"/>
        <v>0</v>
      </c>
    </row>
    <row r="64" spans="1:9">
      <c r="A64" s="190">
        <v>36</v>
      </c>
      <c r="B64" s="185" t="s">
        <v>196</v>
      </c>
      <c r="C64" s="185"/>
      <c r="D64" s="185"/>
      <c r="E64" s="231">
        <v>2337276</v>
      </c>
      <c r="F64" s="231">
        <f>SUM(F59:F63)</f>
        <v>2314717</v>
      </c>
      <c r="G64" s="231">
        <f>SUM(G59:G63)</f>
        <v>-22559</v>
      </c>
      <c r="H64" s="162">
        <v>-22559</v>
      </c>
      <c r="I64" s="162">
        <f t="shared" si="0"/>
        <v>0</v>
      </c>
    </row>
    <row r="65" spans="1:12">
      <c r="A65" s="190"/>
      <c r="B65" s="185" t="s">
        <v>197</v>
      </c>
      <c r="C65" s="185"/>
      <c r="D65" s="185"/>
      <c r="E65" s="232"/>
      <c r="F65" s="232"/>
      <c r="G65" s="232"/>
      <c r="I65" s="162">
        <f t="shared" si="0"/>
        <v>0</v>
      </c>
    </row>
    <row r="66" spans="1:12">
      <c r="A66" s="190">
        <v>37</v>
      </c>
      <c r="B66" s="185"/>
      <c r="C66" s="184" t="s">
        <v>192</v>
      </c>
      <c r="D66" s="185"/>
      <c r="E66" s="233">
        <v>-22826</v>
      </c>
      <c r="F66" s="233">
        <f>'Recreate DR 131 Att. D Pg 7'!B33</f>
        <v>-20367</v>
      </c>
      <c r="G66" s="233">
        <f t="shared" ref="G66:G70" si="2">F66-E66</f>
        <v>2459</v>
      </c>
      <c r="H66" s="162">
        <v>2459</v>
      </c>
      <c r="I66" s="162">
        <f t="shared" si="0"/>
        <v>0</v>
      </c>
    </row>
    <row r="67" spans="1:12">
      <c r="A67" s="190">
        <v>38</v>
      </c>
      <c r="B67" s="185"/>
      <c r="C67" s="185" t="s">
        <v>193</v>
      </c>
      <c r="D67" s="185"/>
      <c r="E67" s="233">
        <v>-335896</v>
      </c>
      <c r="F67" s="233">
        <f>'Recreate DR 131 Att. D Pg 7'!B34</f>
        <v>-330026</v>
      </c>
      <c r="G67" s="233">
        <f t="shared" si="2"/>
        <v>5870</v>
      </c>
      <c r="H67" s="162">
        <v>5870</v>
      </c>
      <c r="I67" s="162">
        <f t="shared" si="0"/>
        <v>0</v>
      </c>
    </row>
    <row r="68" spans="1:12">
      <c r="A68" s="190">
        <v>39</v>
      </c>
      <c r="B68" s="185"/>
      <c r="C68" s="185" t="s">
        <v>194</v>
      </c>
      <c r="D68" s="185"/>
      <c r="E68" s="231">
        <v>-125539</v>
      </c>
      <c r="F68" s="231">
        <f>'Recreate DR 131 Att. D Pg 7'!B35</f>
        <v>-124984</v>
      </c>
      <c r="G68" s="231">
        <f t="shared" si="2"/>
        <v>555</v>
      </c>
      <c r="H68" s="162">
        <v>555</v>
      </c>
      <c r="I68" s="162">
        <f t="shared" si="0"/>
        <v>0</v>
      </c>
    </row>
    <row r="69" spans="1:12">
      <c r="A69" s="190">
        <v>40</v>
      </c>
      <c r="B69" s="185"/>
      <c r="C69" s="185" t="s">
        <v>174</v>
      </c>
      <c r="D69" s="185"/>
      <c r="E69" s="236">
        <v>-262327</v>
      </c>
      <c r="F69" s="236">
        <f>'Recreate DR 131 Att. D Pg 7'!B36+'Recreate DR 131 Att. D Pg 7'!E36</f>
        <v>-262703</v>
      </c>
      <c r="G69" s="236">
        <f t="shared" si="2"/>
        <v>-376</v>
      </c>
      <c r="H69" s="162">
        <v>-376</v>
      </c>
      <c r="I69" s="162">
        <f t="shared" si="0"/>
        <v>0</v>
      </c>
    </row>
    <row r="70" spans="1:12">
      <c r="A70" s="190">
        <v>41</v>
      </c>
      <c r="B70" s="185"/>
      <c r="C70" s="185" t="s">
        <v>195</v>
      </c>
      <c r="D70" s="185"/>
      <c r="E70" s="231">
        <v>-67700</v>
      </c>
      <c r="F70" s="231">
        <f>'Recreate DR 131 Att. D Pg 7'!B37</f>
        <v>-65940</v>
      </c>
      <c r="G70" s="231">
        <f t="shared" si="2"/>
        <v>1760</v>
      </c>
      <c r="H70" s="162">
        <v>1760</v>
      </c>
      <c r="I70" s="162">
        <f t="shared" si="0"/>
        <v>0</v>
      </c>
    </row>
    <row r="71" spans="1:12">
      <c r="A71" s="190">
        <v>42</v>
      </c>
      <c r="B71" s="185" t="s">
        <v>38</v>
      </c>
      <c r="C71" s="185"/>
      <c r="D71" s="185"/>
      <c r="E71" s="232">
        <v>-814288</v>
      </c>
      <c r="F71" s="232">
        <f>SUM(F66:F70)</f>
        <v>-804020</v>
      </c>
      <c r="G71" s="232">
        <f>SUM(G66:G70)</f>
        <v>10268</v>
      </c>
      <c r="H71" s="162">
        <v>10268</v>
      </c>
      <c r="I71" s="162">
        <f t="shared" si="0"/>
        <v>0</v>
      </c>
    </row>
    <row r="72" spans="1:12">
      <c r="A72" s="190">
        <v>43</v>
      </c>
      <c r="B72" s="185" t="s">
        <v>198</v>
      </c>
      <c r="C72" s="185"/>
      <c r="D72" s="185"/>
      <c r="E72" s="237">
        <v>1522988</v>
      </c>
      <c r="F72" s="237">
        <f>F71+F64</f>
        <v>1510697</v>
      </c>
      <c r="G72" s="237">
        <f>G64+G71</f>
        <v>-12291</v>
      </c>
      <c r="H72" s="162">
        <v>-12291</v>
      </c>
      <c r="I72" s="162">
        <f t="shared" si="0"/>
        <v>0</v>
      </c>
    </row>
    <row r="73" spans="1:12">
      <c r="A73" s="190"/>
      <c r="B73" s="185"/>
      <c r="C73" s="185"/>
      <c r="D73" s="185"/>
      <c r="E73" s="238"/>
      <c r="F73" s="238"/>
      <c r="G73" s="238"/>
      <c r="I73" s="162">
        <f t="shared" si="0"/>
        <v>0</v>
      </c>
    </row>
    <row r="74" spans="1:12">
      <c r="A74" s="188">
        <v>44</v>
      </c>
      <c r="B74" s="185" t="s">
        <v>199</v>
      </c>
      <c r="C74" s="185"/>
      <c r="D74" s="185"/>
      <c r="E74" s="232">
        <v>-270286</v>
      </c>
      <c r="F74" s="232">
        <f>'Recreate DR 131 Att. D Pg 7'!B46+'Recreate DR 131 Att. D Pg 7'!E46</f>
        <v>-297464</v>
      </c>
      <c r="G74" s="232">
        <f t="shared" ref="G74" si="3">F74-E74</f>
        <v>-27178</v>
      </c>
      <c r="H74" s="162">
        <v>-27178</v>
      </c>
      <c r="I74" s="162">
        <f t="shared" si="0"/>
        <v>0</v>
      </c>
    </row>
    <row r="75" spans="1:12">
      <c r="A75" s="188">
        <v>45</v>
      </c>
      <c r="B75" s="185"/>
      <c r="C75" s="185" t="s">
        <v>200</v>
      </c>
      <c r="D75" s="185"/>
      <c r="E75" s="233">
        <v>1252702</v>
      </c>
      <c r="F75" s="233">
        <f>F74+F72</f>
        <v>1213233</v>
      </c>
      <c r="G75" s="233">
        <f t="shared" ref="G75" si="4">SUM(G72:G74)</f>
        <v>-39469</v>
      </c>
      <c r="H75" s="162">
        <v>-39469</v>
      </c>
      <c r="I75" s="162">
        <f t="shared" si="0"/>
        <v>0</v>
      </c>
    </row>
    <row r="76" spans="1:12">
      <c r="A76" s="190">
        <v>46</v>
      </c>
      <c r="B76" s="185" t="s">
        <v>201</v>
      </c>
      <c r="C76" s="185"/>
      <c r="D76" s="185"/>
      <c r="E76" s="231">
        <v>4449</v>
      </c>
      <c r="F76" s="231"/>
      <c r="G76" s="231">
        <v>0</v>
      </c>
      <c r="H76" s="162">
        <v>0</v>
      </c>
      <c r="I76" s="162">
        <f t="shared" si="0"/>
        <v>0</v>
      </c>
    </row>
    <row r="77" spans="1:12">
      <c r="A77" s="190">
        <v>47</v>
      </c>
      <c r="B77" s="185" t="s">
        <v>202</v>
      </c>
      <c r="C77" s="185"/>
      <c r="D77" s="185"/>
      <c r="E77" s="231">
        <v>45742</v>
      </c>
      <c r="F77" s="231"/>
      <c r="G77" s="231">
        <v>0</v>
      </c>
      <c r="H77" s="162">
        <v>0</v>
      </c>
      <c r="I77" s="162">
        <f t="shared" si="0"/>
        <v>0</v>
      </c>
    </row>
    <row r="78" spans="1:12">
      <c r="A78" s="188"/>
      <c r="B78" s="185"/>
      <c r="C78" s="185"/>
      <c r="D78" s="185"/>
      <c r="E78" s="231"/>
      <c r="F78" s="231"/>
      <c r="G78" s="231"/>
      <c r="I78" s="162">
        <f t="shared" si="0"/>
        <v>0</v>
      </c>
    </row>
    <row r="79" spans="1:12">
      <c r="A79" s="183">
        <v>48</v>
      </c>
      <c r="B79" s="184" t="s">
        <v>203</v>
      </c>
      <c r="C79" s="184"/>
      <c r="D79" s="184"/>
      <c r="E79" s="232">
        <v>1302893</v>
      </c>
      <c r="F79" s="232">
        <f t="shared" ref="F79:G79" si="5">SUM(F75:F77)</f>
        <v>1213233</v>
      </c>
      <c r="G79" s="232">
        <f t="shared" si="5"/>
        <v>-39469</v>
      </c>
      <c r="H79" s="162">
        <v>-39469</v>
      </c>
      <c r="I79" s="162">
        <f t="shared" ref="I79" si="6">G79-H79</f>
        <v>0</v>
      </c>
      <c r="L79" t="s">
        <v>212</v>
      </c>
    </row>
    <row r="80" spans="1:12">
      <c r="E80" s="229"/>
      <c r="F80" s="229"/>
      <c r="G80" s="229"/>
    </row>
    <row r="81" spans="5:7">
      <c r="E81" s="233"/>
      <c r="F81" s="233"/>
      <c r="G81" s="233"/>
    </row>
    <row r="82" spans="5:7" ht="13.5" thickBot="1">
      <c r="E82" s="239"/>
      <c r="F82" s="239"/>
      <c r="G82" s="239"/>
    </row>
    <row r="83" spans="5:7" ht="13.5" thickTop="1"/>
  </sheetData>
  <mergeCells count="6">
    <mergeCell ref="F1:I3"/>
    <mergeCell ref="E4:E5"/>
    <mergeCell ref="F4:F5"/>
    <mergeCell ref="H4:H5"/>
    <mergeCell ref="G4:G5"/>
    <mergeCell ref="I4:I5"/>
  </mergeCells>
  <conditionalFormatting sqref="I14:I79">
    <cfRule type="cellIs" dxfId="1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8"/>
  <sheetViews>
    <sheetView topLeftCell="A46" zoomScaleNormal="100" workbookViewId="0">
      <selection activeCell="H29" sqref="H29"/>
    </sheetView>
  </sheetViews>
  <sheetFormatPr defaultRowHeight="12.75"/>
  <cols>
    <col min="1" max="1" width="5.7109375" style="194" customWidth="1"/>
    <col min="2" max="3" width="1.7109375" style="195" customWidth="1"/>
    <col min="4" max="4" width="34.140625" style="195" customWidth="1"/>
    <col min="5" max="6" width="14.42578125" style="163" customWidth="1"/>
    <col min="7" max="7" width="16.7109375" style="162" customWidth="1"/>
    <col min="8" max="8" width="18.42578125" style="162" customWidth="1"/>
    <col min="9" max="9" width="14.42578125" style="163" customWidth="1"/>
  </cols>
  <sheetData>
    <row r="2" spans="1:13">
      <c r="A2" s="196" t="str">
        <f>'[4]ROO INPUT'!A3:C3</f>
        <v>AVISTA UTILITIES</v>
      </c>
      <c r="F2" s="279" t="s">
        <v>272</v>
      </c>
      <c r="G2" s="280"/>
      <c r="H2" s="280"/>
      <c r="I2" s="281"/>
    </row>
    <row r="3" spans="1:13">
      <c r="A3" s="196" t="s">
        <v>219</v>
      </c>
      <c r="F3" s="282"/>
      <c r="G3" s="283"/>
      <c r="H3" s="283"/>
      <c r="I3" s="284"/>
    </row>
    <row r="4" spans="1:13" ht="12.75" customHeight="1">
      <c r="A4" s="197" t="s">
        <v>151</v>
      </c>
      <c r="F4" s="285"/>
      <c r="G4" s="286"/>
      <c r="H4" s="286"/>
      <c r="I4" s="287"/>
    </row>
    <row r="5" spans="1:13">
      <c r="A5" s="196" t="str">
        <f>'[4]ROO INPUT'!A5:C5</f>
        <v>TWELVE MONTHS ENDED SEPTEMBER 30, 2014</v>
      </c>
      <c r="B5" s="194"/>
      <c r="C5" s="194"/>
      <c r="D5" s="194"/>
      <c r="E5" s="288" t="s">
        <v>148</v>
      </c>
      <c r="F5" s="288" t="s">
        <v>218</v>
      </c>
      <c r="G5" s="290" t="s">
        <v>267</v>
      </c>
      <c r="H5" s="290" t="s">
        <v>209</v>
      </c>
      <c r="I5" s="290" t="s">
        <v>211</v>
      </c>
    </row>
    <row r="6" spans="1:13">
      <c r="A6" s="196" t="str">
        <f>'[4]ROO INPUT'!A6:C6</f>
        <v xml:space="preserve">(000'S OF DOLLARS)   </v>
      </c>
      <c r="E6" s="289"/>
      <c r="F6" s="289"/>
      <c r="G6" s="291"/>
      <c r="H6" s="291"/>
      <c r="I6" s="291"/>
    </row>
    <row r="7" spans="1:13">
      <c r="A7" s="198"/>
      <c r="B7" s="199"/>
      <c r="C7" s="199"/>
      <c r="D7" s="199"/>
      <c r="E7" s="160"/>
      <c r="F7" s="160"/>
      <c r="G7"/>
      <c r="H7"/>
      <c r="I7" s="160"/>
      <c r="M7" s="223"/>
    </row>
    <row r="8" spans="1:13">
      <c r="A8" s="200"/>
      <c r="B8" s="201"/>
      <c r="C8" s="202"/>
      <c r="D8" s="203"/>
      <c r="E8" s="224" t="s">
        <v>145</v>
      </c>
      <c r="F8" s="227"/>
      <c r="G8" s="227"/>
      <c r="H8" s="224" t="s">
        <v>208</v>
      </c>
      <c r="I8" s="228"/>
      <c r="M8" s="223"/>
    </row>
    <row r="9" spans="1:13" ht="11.25" customHeight="1">
      <c r="A9" s="204" t="s">
        <v>154</v>
      </c>
      <c r="B9" s="205"/>
      <c r="C9" s="206"/>
      <c r="D9" s="207"/>
      <c r="E9" s="225" t="s">
        <v>146</v>
      </c>
      <c r="F9" s="227"/>
      <c r="G9" s="227"/>
      <c r="H9" s="225" t="s">
        <v>264</v>
      </c>
      <c r="I9" s="228"/>
      <c r="M9" s="223"/>
    </row>
    <row r="10" spans="1:13">
      <c r="A10" s="208" t="s">
        <v>155</v>
      </c>
      <c r="B10" s="209"/>
      <c r="C10" s="210"/>
      <c r="D10" s="211" t="s">
        <v>156</v>
      </c>
      <c r="E10" s="226"/>
      <c r="F10" s="227"/>
      <c r="G10" s="227"/>
      <c r="H10" s="226" t="s">
        <v>265</v>
      </c>
      <c r="I10" s="228"/>
      <c r="M10" s="223"/>
    </row>
    <row r="11" spans="1:13">
      <c r="A11" s="198"/>
      <c r="B11" s="212" t="s">
        <v>220</v>
      </c>
      <c r="C11" s="199"/>
      <c r="D11" s="199"/>
      <c r="E11" s="227"/>
      <c r="F11" s="227"/>
      <c r="G11" s="227"/>
      <c r="H11" s="224" t="s">
        <v>266</v>
      </c>
      <c r="I11" s="228"/>
      <c r="M11" s="223"/>
    </row>
    <row r="12" spans="1:13">
      <c r="A12" s="198"/>
      <c r="B12" s="212" t="s">
        <v>158</v>
      </c>
      <c r="C12" s="199"/>
      <c r="D12" s="199"/>
      <c r="E12" s="228" t="s">
        <v>214</v>
      </c>
      <c r="F12" s="228"/>
      <c r="G12" s="228"/>
      <c r="H12" s="226" t="s">
        <v>90</v>
      </c>
      <c r="I12" s="228"/>
      <c r="M12" s="223"/>
    </row>
    <row r="13" spans="1:13">
      <c r="E13" s="229"/>
      <c r="F13" s="229"/>
      <c r="G13" s="229"/>
      <c r="H13" s="229"/>
      <c r="I13" s="229"/>
      <c r="M13" s="223"/>
    </row>
    <row r="14" spans="1:13">
      <c r="B14" s="195" t="s">
        <v>221</v>
      </c>
      <c r="E14" s="229"/>
      <c r="F14" s="229"/>
      <c r="G14" s="229"/>
      <c r="H14" s="229"/>
      <c r="I14" s="229"/>
      <c r="M14" s="223"/>
    </row>
    <row r="15" spans="1:13">
      <c r="A15" s="194">
        <v>1</v>
      </c>
      <c r="B15" s="213" t="s">
        <v>222</v>
      </c>
      <c r="C15" s="213"/>
      <c r="D15" s="213"/>
      <c r="E15" s="230">
        <v>166731</v>
      </c>
      <c r="F15" s="230"/>
      <c r="G15" s="230"/>
      <c r="H15" s="230">
        <v>0</v>
      </c>
      <c r="I15" s="230">
        <f>G15-H15</f>
        <v>0</v>
      </c>
      <c r="M15" s="223"/>
    </row>
    <row r="16" spans="1:13">
      <c r="A16" s="194">
        <v>2</v>
      </c>
      <c r="B16" s="214" t="s">
        <v>223</v>
      </c>
      <c r="D16" s="214"/>
      <c r="E16" s="231">
        <v>4183</v>
      </c>
      <c r="F16" s="231"/>
      <c r="G16" s="231"/>
      <c r="H16" s="231">
        <v>0</v>
      </c>
      <c r="I16" s="231">
        <f t="shared" ref="I16:I79" si="0">G16-H16</f>
        <v>0</v>
      </c>
      <c r="M16" s="223"/>
    </row>
    <row r="17" spans="1:13">
      <c r="A17" s="194">
        <v>3</v>
      </c>
      <c r="B17" s="214" t="s">
        <v>224</v>
      </c>
      <c r="D17" s="214"/>
      <c r="E17" s="232">
        <v>277</v>
      </c>
      <c r="F17" s="232"/>
      <c r="G17" s="232"/>
      <c r="H17" s="232">
        <v>0</v>
      </c>
      <c r="I17" s="232">
        <f t="shared" si="0"/>
        <v>0</v>
      </c>
      <c r="M17" s="223"/>
    </row>
    <row r="18" spans="1:13">
      <c r="A18" s="194">
        <v>4</v>
      </c>
      <c r="B18" s="195" t="s">
        <v>225</v>
      </c>
      <c r="C18" s="214"/>
      <c r="D18" s="214"/>
      <c r="E18" s="233">
        <v>171191</v>
      </c>
      <c r="F18" s="233">
        <f>SUM(F15:F17)</f>
        <v>0</v>
      </c>
      <c r="G18" s="233">
        <f>SUM(G15:G17)</f>
        <v>0</v>
      </c>
      <c r="H18" s="233">
        <f>SUM(H15:H17)</f>
        <v>0</v>
      </c>
      <c r="I18" s="233">
        <f t="shared" si="0"/>
        <v>0</v>
      </c>
      <c r="M18" s="223"/>
    </row>
    <row r="19" spans="1:13">
      <c r="C19" s="214"/>
      <c r="D19" s="214"/>
      <c r="E19" s="231"/>
      <c r="F19" s="231"/>
      <c r="G19" s="231"/>
      <c r="H19" s="231"/>
      <c r="I19" s="231">
        <f t="shared" si="0"/>
        <v>0</v>
      </c>
      <c r="M19" s="223"/>
    </row>
    <row r="20" spans="1:13">
      <c r="B20" s="195" t="s">
        <v>226</v>
      </c>
      <c r="C20" s="214"/>
      <c r="D20" s="214"/>
      <c r="E20" s="231"/>
      <c r="F20" s="231"/>
      <c r="G20" s="231"/>
      <c r="H20" s="231"/>
      <c r="I20" s="231">
        <f t="shared" si="0"/>
        <v>0</v>
      </c>
      <c r="M20" s="223"/>
    </row>
    <row r="21" spans="1:13">
      <c r="B21" s="214" t="s">
        <v>227</v>
      </c>
      <c r="D21" s="214"/>
      <c r="E21" s="231"/>
      <c r="F21" s="231"/>
      <c r="G21" s="231"/>
      <c r="H21" s="231"/>
      <c r="I21" s="231">
        <f t="shared" si="0"/>
        <v>0</v>
      </c>
      <c r="M21" s="223"/>
    </row>
    <row r="22" spans="1:13">
      <c r="A22" s="194">
        <v>5</v>
      </c>
      <c r="C22" s="214" t="s">
        <v>228</v>
      </c>
      <c r="D22" s="214"/>
      <c r="E22" s="231">
        <v>87867</v>
      </c>
      <c r="F22" s="231"/>
      <c r="G22" s="231"/>
      <c r="H22" s="231">
        <v>0</v>
      </c>
      <c r="I22" s="231">
        <f t="shared" si="0"/>
        <v>0</v>
      </c>
      <c r="M22" s="223"/>
    </row>
    <row r="23" spans="1:13">
      <c r="A23" s="194">
        <v>6</v>
      </c>
      <c r="C23" s="214" t="s">
        <v>229</v>
      </c>
      <c r="D23" s="214"/>
      <c r="E23" s="231">
        <v>866.96199999999999</v>
      </c>
      <c r="F23" s="231"/>
      <c r="G23" s="231"/>
      <c r="H23" s="231">
        <v>0</v>
      </c>
      <c r="I23" s="231">
        <f t="shared" si="0"/>
        <v>0</v>
      </c>
      <c r="M23" s="223"/>
    </row>
    <row r="24" spans="1:13">
      <c r="A24" s="194">
        <v>7</v>
      </c>
      <c r="C24" s="214" t="s">
        <v>230</v>
      </c>
      <c r="D24" s="214"/>
      <c r="E24" s="232">
        <v>0</v>
      </c>
      <c r="F24" s="232"/>
      <c r="G24" s="232"/>
      <c r="H24" s="232">
        <v>0</v>
      </c>
      <c r="I24" s="232">
        <f t="shared" si="0"/>
        <v>0</v>
      </c>
      <c r="M24" s="223"/>
    </row>
    <row r="25" spans="1:13">
      <c r="A25" s="194">
        <v>8</v>
      </c>
      <c r="B25" s="214" t="s">
        <v>231</v>
      </c>
      <c r="C25" s="214"/>
      <c r="E25" s="233">
        <v>88733.962</v>
      </c>
      <c r="F25" s="233">
        <f>SUM(F22:F24)</f>
        <v>0</v>
      </c>
      <c r="G25" s="233">
        <f>SUM(G22:G24)</f>
        <v>0</v>
      </c>
      <c r="H25" s="233">
        <f>SUM(H22:H24)</f>
        <v>0</v>
      </c>
      <c r="I25" s="233">
        <f t="shared" si="0"/>
        <v>0</v>
      </c>
      <c r="M25" s="223"/>
    </row>
    <row r="26" spans="1:13">
      <c r="B26" s="214"/>
      <c r="C26" s="214"/>
      <c r="E26" s="233"/>
      <c r="F26" s="233"/>
      <c r="G26" s="233"/>
      <c r="H26" s="233"/>
      <c r="I26" s="233">
        <f t="shared" si="0"/>
        <v>0</v>
      </c>
      <c r="M26" s="223"/>
    </row>
    <row r="27" spans="1:13">
      <c r="B27" s="214" t="s">
        <v>232</v>
      </c>
      <c r="D27" s="214"/>
      <c r="E27" s="231"/>
      <c r="F27" s="231"/>
      <c r="G27" s="231"/>
      <c r="H27" s="231"/>
      <c r="I27" s="231">
        <f t="shared" si="0"/>
        <v>0</v>
      </c>
      <c r="M27" s="223"/>
    </row>
    <row r="28" spans="1:13">
      <c r="A28" s="194">
        <v>9</v>
      </c>
      <c r="C28" s="214" t="s">
        <v>233</v>
      </c>
      <c r="D28" s="214"/>
      <c r="E28" s="231">
        <v>858.19799999999998</v>
      </c>
      <c r="F28" s="231"/>
      <c r="G28" s="231"/>
      <c r="H28" s="231">
        <v>0</v>
      </c>
      <c r="I28" s="231">
        <f t="shared" si="0"/>
        <v>0</v>
      </c>
      <c r="M28" s="223"/>
    </row>
    <row r="29" spans="1:13">
      <c r="A29" s="194">
        <v>10</v>
      </c>
      <c r="C29" s="214" t="s">
        <v>175</v>
      </c>
      <c r="D29" s="214"/>
      <c r="E29" s="231">
        <v>406</v>
      </c>
      <c r="F29" s="231">
        <f>'Recreate DR 131 Att. D Pg 13'!B11</f>
        <v>402</v>
      </c>
      <c r="G29" s="231">
        <f>F29-E29</f>
        <v>-4</v>
      </c>
      <c r="H29" s="231">
        <f>-406+402</f>
        <v>-4</v>
      </c>
      <c r="I29" s="231">
        <f t="shared" si="0"/>
        <v>0</v>
      </c>
      <c r="M29" s="223"/>
    </row>
    <row r="30" spans="1:13">
      <c r="A30" s="194">
        <v>11</v>
      </c>
      <c r="C30" s="214" t="s">
        <v>234</v>
      </c>
      <c r="D30" s="214"/>
      <c r="E30" s="232">
        <v>269</v>
      </c>
      <c r="F30" s="232"/>
      <c r="G30" s="232"/>
      <c r="H30" s="232">
        <v>0</v>
      </c>
      <c r="I30" s="232">
        <f t="shared" si="0"/>
        <v>0</v>
      </c>
      <c r="M30" s="223"/>
    </row>
    <row r="31" spans="1:13">
      <c r="A31" s="194">
        <v>12</v>
      </c>
      <c r="B31" s="214" t="s">
        <v>235</v>
      </c>
      <c r="C31" s="214"/>
      <c r="E31" s="233">
        <v>1533.1979999999999</v>
      </c>
      <c r="F31" s="233">
        <f>SUM(F28:F30)</f>
        <v>402</v>
      </c>
      <c r="G31" s="233">
        <f>SUM(G28:G30)</f>
        <v>-4</v>
      </c>
      <c r="H31" s="233">
        <f>SUM(H28:H30)</f>
        <v>-4</v>
      </c>
      <c r="I31" s="233">
        <f t="shared" si="0"/>
        <v>0</v>
      </c>
      <c r="M31" s="223"/>
    </row>
    <row r="32" spans="1:13">
      <c r="B32" s="214"/>
      <c r="C32" s="214"/>
      <c r="E32" s="233"/>
      <c r="F32" s="233"/>
      <c r="G32" s="233"/>
      <c r="H32" s="233"/>
      <c r="I32" s="233">
        <f t="shared" si="0"/>
        <v>0</v>
      </c>
      <c r="M32" s="223"/>
    </row>
    <row r="33" spans="1:13">
      <c r="B33" s="214" t="s">
        <v>11</v>
      </c>
      <c r="D33" s="214"/>
      <c r="E33" s="231"/>
      <c r="F33" s="231"/>
      <c r="G33" s="231"/>
      <c r="H33" s="231"/>
      <c r="I33" s="231">
        <f t="shared" si="0"/>
        <v>0</v>
      </c>
      <c r="M33" s="223"/>
    </row>
    <row r="34" spans="1:13">
      <c r="A34" s="194">
        <v>13</v>
      </c>
      <c r="C34" s="214" t="s">
        <v>233</v>
      </c>
      <c r="D34" s="214"/>
      <c r="E34" s="231">
        <v>11327</v>
      </c>
      <c r="F34" s="231"/>
      <c r="G34" s="231"/>
      <c r="H34" s="231">
        <v>0</v>
      </c>
      <c r="I34" s="231">
        <f t="shared" si="0"/>
        <v>0</v>
      </c>
      <c r="M34" s="223"/>
    </row>
    <row r="35" spans="1:13">
      <c r="A35" s="194">
        <v>14</v>
      </c>
      <c r="C35" s="214" t="s">
        <v>175</v>
      </c>
      <c r="D35" s="214"/>
      <c r="E35" s="231">
        <v>8780</v>
      </c>
      <c r="F35" s="231">
        <f>'Recreate DR 131 Att. D Pg 13'!B12</f>
        <v>8519</v>
      </c>
      <c r="G35" s="231">
        <f>F35-E35</f>
        <v>-261</v>
      </c>
      <c r="H35" s="231">
        <f>-8780+8519</f>
        <v>-261</v>
      </c>
      <c r="I35" s="231">
        <f t="shared" si="0"/>
        <v>0</v>
      </c>
      <c r="M35" s="223"/>
    </row>
    <row r="36" spans="1:13">
      <c r="A36" s="194">
        <v>15</v>
      </c>
      <c r="C36" s="214" t="s">
        <v>234</v>
      </c>
      <c r="D36" s="214"/>
      <c r="E36" s="232">
        <v>9877</v>
      </c>
      <c r="F36" s="232"/>
      <c r="G36" s="232"/>
      <c r="H36" s="232">
        <v>0</v>
      </c>
      <c r="I36" s="232">
        <f t="shared" si="0"/>
        <v>0</v>
      </c>
      <c r="M36" s="223"/>
    </row>
    <row r="37" spans="1:13">
      <c r="A37" s="194">
        <v>16</v>
      </c>
      <c r="B37" s="214" t="s">
        <v>236</v>
      </c>
      <c r="C37" s="214"/>
      <c r="E37" s="233">
        <v>29984</v>
      </c>
      <c r="F37" s="233">
        <f>SUM(F34:F36)</f>
        <v>8519</v>
      </c>
      <c r="G37" s="233">
        <f>SUM(G34:G36)</f>
        <v>-261</v>
      </c>
      <c r="H37" s="233">
        <f>SUM(H34:H36)</f>
        <v>-261</v>
      </c>
      <c r="I37" s="233">
        <f t="shared" si="0"/>
        <v>0</v>
      </c>
      <c r="M37" s="223"/>
    </row>
    <row r="38" spans="1:13">
      <c r="C38" s="214"/>
      <c r="D38" s="214"/>
      <c r="E38" s="233"/>
      <c r="F38" s="233"/>
      <c r="G38" s="233"/>
      <c r="H38" s="233"/>
      <c r="I38" s="233">
        <f t="shared" si="0"/>
        <v>0</v>
      </c>
      <c r="M38" s="223"/>
    </row>
    <row r="39" spans="1:13">
      <c r="A39" s="194">
        <v>17</v>
      </c>
      <c r="B39" s="195" t="s">
        <v>237</v>
      </c>
      <c r="C39" s="214"/>
      <c r="D39" s="214"/>
      <c r="E39" s="231">
        <v>6794</v>
      </c>
      <c r="F39" s="231"/>
      <c r="G39" s="231"/>
      <c r="H39" s="231">
        <v>0</v>
      </c>
      <c r="I39" s="231">
        <f t="shared" si="0"/>
        <v>0</v>
      </c>
      <c r="M39" s="223"/>
    </row>
    <row r="40" spans="1:13">
      <c r="A40" s="194">
        <v>18</v>
      </c>
      <c r="B40" s="195" t="s">
        <v>238</v>
      </c>
      <c r="C40" s="214"/>
      <c r="D40" s="214"/>
      <c r="E40" s="231">
        <v>966</v>
      </c>
      <c r="F40" s="231"/>
      <c r="G40" s="231"/>
      <c r="H40" s="231">
        <v>0</v>
      </c>
      <c r="I40" s="231">
        <f t="shared" si="0"/>
        <v>0</v>
      </c>
      <c r="M40" s="223"/>
    </row>
    <row r="41" spans="1:13">
      <c r="A41" s="194">
        <v>19</v>
      </c>
      <c r="B41" s="195" t="s">
        <v>239</v>
      </c>
      <c r="C41" s="214"/>
      <c r="D41" s="214"/>
      <c r="E41" s="231">
        <v>1.1299999999999999</v>
      </c>
      <c r="F41" s="231"/>
      <c r="G41" s="231"/>
      <c r="H41" s="231">
        <v>0</v>
      </c>
      <c r="I41" s="231">
        <f t="shared" si="0"/>
        <v>0</v>
      </c>
      <c r="M41" s="223"/>
    </row>
    <row r="42" spans="1:13">
      <c r="C42" s="214"/>
      <c r="D42" s="214"/>
      <c r="E42" s="231"/>
      <c r="F42" s="231"/>
      <c r="G42" s="231"/>
      <c r="H42" s="231"/>
      <c r="I42" s="231">
        <f t="shared" si="0"/>
        <v>0</v>
      </c>
      <c r="M42" s="223"/>
    </row>
    <row r="43" spans="1:13">
      <c r="B43" s="195" t="s">
        <v>240</v>
      </c>
      <c r="C43" s="214"/>
      <c r="D43" s="214"/>
      <c r="E43" s="231"/>
      <c r="F43" s="231"/>
      <c r="G43" s="231"/>
      <c r="H43" s="231"/>
      <c r="I43" s="231">
        <f t="shared" si="0"/>
        <v>0</v>
      </c>
      <c r="M43" s="223"/>
    </row>
    <row r="44" spans="1:13">
      <c r="A44" s="194">
        <v>20</v>
      </c>
      <c r="C44" s="214" t="s">
        <v>233</v>
      </c>
      <c r="D44" s="214"/>
      <c r="E44" s="231">
        <v>13206</v>
      </c>
      <c r="F44" s="231"/>
      <c r="G44" s="231"/>
      <c r="H44" s="231">
        <v>0</v>
      </c>
      <c r="I44" s="231">
        <f t="shared" si="0"/>
        <v>0</v>
      </c>
      <c r="M44" s="223"/>
    </row>
    <row r="45" spans="1:13">
      <c r="A45" s="194">
        <v>21</v>
      </c>
      <c r="C45" s="214" t="s">
        <v>175</v>
      </c>
      <c r="D45" s="214"/>
      <c r="E45" s="231">
        <v>5024</v>
      </c>
      <c r="F45" s="231">
        <f>'Recreate DR 131 Att. D Pg 13'!B13+'Recreate DR 131 Att. D Pg 13'!B10</f>
        <v>4389</v>
      </c>
      <c r="G45" s="231">
        <f>F45-E45</f>
        <v>-635</v>
      </c>
      <c r="H45" s="231">
        <f>-5024+4389</f>
        <v>-635</v>
      </c>
      <c r="I45" s="231">
        <f t="shared" si="0"/>
        <v>0</v>
      </c>
      <c r="M45" s="223"/>
    </row>
    <row r="46" spans="1:13">
      <c r="A46" s="194">
        <v>22</v>
      </c>
      <c r="C46" s="215" t="s">
        <v>241</v>
      </c>
      <c r="D46" s="214"/>
      <c r="E46" s="231">
        <v>0</v>
      </c>
      <c r="F46" s="231"/>
      <c r="G46" s="231"/>
      <c r="H46" s="231"/>
      <c r="I46" s="231">
        <f t="shared" si="0"/>
        <v>0</v>
      </c>
      <c r="M46" s="223"/>
    </row>
    <row r="47" spans="1:13">
      <c r="A47" s="194">
        <v>23</v>
      </c>
      <c r="C47" s="214" t="s">
        <v>234</v>
      </c>
      <c r="D47" s="214"/>
      <c r="E47" s="232">
        <v>0</v>
      </c>
      <c r="F47" s="232"/>
      <c r="G47" s="232"/>
      <c r="H47" s="232">
        <v>0</v>
      </c>
      <c r="I47" s="232">
        <f t="shared" si="0"/>
        <v>0</v>
      </c>
      <c r="M47" s="223"/>
    </row>
    <row r="48" spans="1:13">
      <c r="A48" s="194">
        <v>24</v>
      </c>
      <c r="B48" s="214" t="s">
        <v>242</v>
      </c>
      <c r="C48" s="214"/>
      <c r="E48" s="234">
        <v>18230</v>
      </c>
      <c r="F48" s="234">
        <f>SUM(F44:F47)</f>
        <v>4389</v>
      </c>
      <c r="G48" s="234">
        <f>SUM(G44:G47)</f>
        <v>-635</v>
      </c>
      <c r="H48" s="234">
        <f>SUM(H44:H47)</f>
        <v>-635</v>
      </c>
      <c r="I48" s="234">
        <f t="shared" si="0"/>
        <v>0</v>
      </c>
      <c r="M48" s="223"/>
    </row>
    <row r="49" spans="1:13">
      <c r="A49" s="194">
        <v>25</v>
      </c>
      <c r="B49" s="195" t="s">
        <v>243</v>
      </c>
      <c r="C49" s="214"/>
      <c r="D49" s="214"/>
      <c r="E49" s="234">
        <v>146242.29</v>
      </c>
      <c r="F49" s="234">
        <f>F21+F25+F31+F37+F39+F40+F41+F48</f>
        <v>13310</v>
      </c>
      <c r="G49" s="234">
        <f>G21+G25+G31+G37+G39+G40+G41+G48</f>
        <v>-900</v>
      </c>
      <c r="H49" s="234">
        <f>H21+H25+H31+H37+H39+H40+H41+H48</f>
        <v>-900</v>
      </c>
      <c r="I49" s="234">
        <f t="shared" si="0"/>
        <v>0</v>
      </c>
      <c r="M49" s="223"/>
    </row>
    <row r="50" spans="1:13">
      <c r="C50" s="214"/>
      <c r="D50" s="214"/>
      <c r="E50" s="233"/>
      <c r="F50" s="233"/>
      <c r="G50" s="233"/>
      <c r="H50" s="233"/>
      <c r="I50" s="233">
        <f t="shared" si="0"/>
        <v>0</v>
      </c>
      <c r="M50" s="223"/>
    </row>
    <row r="51" spans="1:13">
      <c r="A51" s="194">
        <v>26</v>
      </c>
      <c r="B51" s="195" t="s">
        <v>244</v>
      </c>
      <c r="C51" s="214"/>
      <c r="D51" s="214"/>
      <c r="E51" s="233">
        <v>24948.709999999992</v>
      </c>
      <c r="F51" s="233">
        <f>F18-F49</f>
        <v>-13310</v>
      </c>
      <c r="G51" s="233">
        <f>G18-G49</f>
        <v>900</v>
      </c>
      <c r="H51" s="233">
        <f>H18-H49</f>
        <v>900</v>
      </c>
      <c r="I51" s="233">
        <f t="shared" si="0"/>
        <v>0</v>
      </c>
      <c r="M51" s="223"/>
    </row>
    <row r="52" spans="1:13">
      <c r="C52" s="214"/>
      <c r="D52" s="214"/>
      <c r="E52" s="233"/>
      <c r="F52" s="233"/>
      <c r="G52" s="233"/>
      <c r="H52" s="233"/>
      <c r="I52" s="233">
        <f t="shared" si="0"/>
        <v>0</v>
      </c>
      <c r="M52" s="223"/>
    </row>
    <row r="53" spans="1:13">
      <c r="B53" s="195" t="s">
        <v>245</v>
      </c>
      <c r="C53" s="214"/>
      <c r="D53" s="214"/>
      <c r="E53" s="231"/>
      <c r="F53" s="231"/>
      <c r="G53" s="231"/>
      <c r="H53" s="231"/>
      <c r="I53" s="231">
        <f t="shared" si="0"/>
        <v>0</v>
      </c>
      <c r="M53" s="223"/>
    </row>
    <row r="54" spans="1:13">
      <c r="A54" s="194">
        <v>27</v>
      </c>
      <c r="B54" s="214" t="s">
        <v>246</v>
      </c>
      <c r="D54" s="214"/>
      <c r="E54" s="231">
        <v>5765.8485000000001</v>
      </c>
      <c r="F54" s="231"/>
      <c r="G54" s="231">
        <f>G51*0.35</f>
        <v>315</v>
      </c>
      <c r="H54" s="231">
        <f>H51*0.35</f>
        <v>315</v>
      </c>
      <c r="I54" s="231">
        <f t="shared" si="0"/>
        <v>0</v>
      </c>
      <c r="M54" s="223"/>
    </row>
    <row r="55" spans="1:13">
      <c r="A55" s="194">
        <v>28</v>
      </c>
      <c r="B55" s="214" t="s">
        <v>186</v>
      </c>
      <c r="D55" s="214"/>
      <c r="E55" s="231">
        <v>-97.686014999999983</v>
      </c>
      <c r="F55" s="231"/>
      <c r="G55" s="231">
        <f>(G82*0.0268)*-0.35</f>
        <v>-4.01464</v>
      </c>
      <c r="H55" s="231">
        <f>(H82*0.0268)*-0.35</f>
        <v>-4.01464</v>
      </c>
      <c r="I55" s="231">
        <f t="shared" si="0"/>
        <v>0</v>
      </c>
      <c r="M55" s="223"/>
    </row>
    <row r="56" spans="1:13">
      <c r="A56" s="194">
        <v>29</v>
      </c>
      <c r="B56" s="214" t="s">
        <v>247</v>
      </c>
      <c r="D56" s="214"/>
      <c r="E56" s="231">
        <v>2079</v>
      </c>
      <c r="F56" s="231"/>
      <c r="G56" s="231"/>
      <c r="H56" s="231">
        <v>0</v>
      </c>
      <c r="I56" s="231">
        <f t="shared" si="0"/>
        <v>0</v>
      </c>
      <c r="M56" s="223"/>
    </row>
    <row r="57" spans="1:13">
      <c r="A57" s="194">
        <v>30</v>
      </c>
      <c r="B57" s="214" t="s">
        <v>248</v>
      </c>
      <c r="D57" s="214"/>
      <c r="E57" s="232">
        <v>-22</v>
      </c>
      <c r="F57" s="232"/>
      <c r="G57" s="232"/>
      <c r="H57" s="232">
        <v>0</v>
      </c>
      <c r="I57" s="232">
        <f t="shared" si="0"/>
        <v>0</v>
      </c>
      <c r="M57" s="223"/>
    </row>
    <row r="58" spans="1:13">
      <c r="E58" s="233"/>
      <c r="F58" s="233"/>
      <c r="G58" s="233"/>
      <c r="H58" s="233"/>
      <c r="I58" s="233">
        <f t="shared" si="0"/>
        <v>0</v>
      </c>
      <c r="M58" s="223"/>
    </row>
    <row r="59" spans="1:13" ht="13.5" thickBot="1">
      <c r="A59" s="194">
        <v>31</v>
      </c>
      <c r="B59" s="213" t="s">
        <v>249</v>
      </c>
      <c r="C59" s="213"/>
      <c r="D59" s="213"/>
      <c r="E59" s="235">
        <v>17223.547514999991</v>
      </c>
      <c r="F59" s="235">
        <f>F51-SUM(F54:F57)</f>
        <v>-13310</v>
      </c>
      <c r="G59" s="235">
        <f>G51-SUM(G54:G57)</f>
        <v>589.01463999999999</v>
      </c>
      <c r="H59" s="235">
        <f>H51-SUM(H54:H57)</f>
        <v>589.01463999999999</v>
      </c>
      <c r="I59" s="235">
        <f t="shared" si="0"/>
        <v>0</v>
      </c>
      <c r="M59" s="223"/>
    </row>
    <row r="60" spans="1:13" ht="13.5" thickTop="1">
      <c r="E60" s="233"/>
      <c r="F60" s="233"/>
      <c r="G60" s="233"/>
      <c r="H60" s="233"/>
      <c r="I60" s="233">
        <f t="shared" si="0"/>
        <v>0</v>
      </c>
      <c r="M60" s="223"/>
    </row>
    <row r="61" spans="1:13">
      <c r="B61" s="195" t="s">
        <v>250</v>
      </c>
      <c r="E61" s="233"/>
      <c r="F61" s="233"/>
      <c r="G61" s="233">
        <f>F61-E61</f>
        <v>0</v>
      </c>
      <c r="H61" s="233"/>
      <c r="I61" s="233">
        <f t="shared" si="0"/>
        <v>0</v>
      </c>
      <c r="M61" s="223"/>
    </row>
    <row r="62" spans="1:13">
      <c r="B62" s="195" t="s">
        <v>251</v>
      </c>
      <c r="E62" s="231"/>
      <c r="F62" s="231"/>
      <c r="G62" s="231">
        <f>F62-E62</f>
        <v>0</v>
      </c>
      <c r="H62" s="231"/>
      <c r="I62" s="231">
        <f t="shared" si="0"/>
        <v>0</v>
      </c>
      <c r="M62" s="223"/>
    </row>
    <row r="63" spans="1:13">
      <c r="A63" s="194">
        <v>32</v>
      </c>
      <c r="B63" s="214"/>
      <c r="C63" s="214" t="s">
        <v>232</v>
      </c>
      <c r="D63" s="214"/>
      <c r="E63" s="230">
        <v>25219</v>
      </c>
      <c r="F63" s="230">
        <f>'Recreate DR 131 Att. D Pg 13'!B25</f>
        <v>25540</v>
      </c>
      <c r="G63" s="230">
        <f>F63-E63</f>
        <v>321</v>
      </c>
      <c r="H63" s="230">
        <f>-25219+25540</f>
        <v>321</v>
      </c>
      <c r="I63" s="230">
        <f t="shared" si="0"/>
        <v>0</v>
      </c>
      <c r="M63" s="223"/>
    </row>
    <row r="64" spans="1:13">
      <c r="A64" s="194">
        <v>33</v>
      </c>
      <c r="B64" s="214"/>
      <c r="C64" s="214" t="s">
        <v>252</v>
      </c>
      <c r="D64" s="214"/>
      <c r="E64" s="231">
        <v>344224</v>
      </c>
      <c r="F64" s="231">
        <f>'Recreate DR 131 Att. D Pg 13'!B26+'Recreate DR 131 Att. D Pg 13'!E26</f>
        <v>345718</v>
      </c>
      <c r="G64" s="231">
        <f>F64-E64</f>
        <v>1494</v>
      </c>
      <c r="H64" s="231">
        <f>-344224+349746-4028</f>
        <v>1494</v>
      </c>
      <c r="I64" s="231">
        <f t="shared" si="0"/>
        <v>0</v>
      </c>
      <c r="M64" s="223"/>
    </row>
    <row r="65" spans="1:13">
      <c r="A65" s="194">
        <v>34</v>
      </c>
      <c r="B65" s="214"/>
      <c r="C65" s="214" t="s">
        <v>12</v>
      </c>
      <c r="D65" s="214"/>
      <c r="E65" s="232">
        <v>63057</v>
      </c>
      <c r="F65" s="232">
        <f>'Recreate DR 131 Att. D Pg 13'!B27+'Recreate DR 131 Att. D Pg 13'!B24</f>
        <v>59773</v>
      </c>
      <c r="G65" s="232">
        <f>F65-E65</f>
        <v>-3284</v>
      </c>
      <c r="H65" s="232">
        <f>-63057+12069+47704</f>
        <v>-3284</v>
      </c>
      <c r="I65" s="232">
        <f t="shared" si="0"/>
        <v>0</v>
      </c>
      <c r="M65" s="223"/>
    </row>
    <row r="66" spans="1:13">
      <c r="A66" s="194">
        <v>35</v>
      </c>
      <c r="B66" s="214" t="s">
        <v>253</v>
      </c>
      <c r="C66" s="214"/>
      <c r="E66" s="233">
        <v>432500</v>
      </c>
      <c r="F66" s="233">
        <f>SUM(F63:F65)</f>
        <v>431031</v>
      </c>
      <c r="G66" s="233">
        <f>SUM(G63:G65)</f>
        <v>-1469</v>
      </c>
      <c r="H66" s="233">
        <f>SUM(H63:H65)</f>
        <v>-1469</v>
      </c>
      <c r="I66" s="233">
        <f t="shared" si="0"/>
        <v>0</v>
      </c>
      <c r="M66" s="223"/>
    </row>
    <row r="67" spans="1:13">
      <c r="B67" s="214"/>
      <c r="C67" s="214"/>
      <c r="E67" s="233"/>
      <c r="F67" s="233"/>
      <c r="G67" s="233"/>
      <c r="H67" s="233"/>
      <c r="I67" s="233">
        <f t="shared" si="0"/>
        <v>0</v>
      </c>
      <c r="M67" s="223"/>
    </row>
    <row r="68" spans="1:13">
      <c r="B68" s="214" t="s">
        <v>197</v>
      </c>
      <c r="C68" s="214"/>
      <c r="D68" s="214"/>
      <c r="E68" s="231"/>
      <c r="F68" s="231"/>
      <c r="G68" s="231"/>
      <c r="H68" s="231"/>
      <c r="I68" s="231">
        <f t="shared" si="0"/>
        <v>0</v>
      </c>
      <c r="M68" s="223"/>
    </row>
    <row r="69" spans="1:13">
      <c r="A69" s="194">
        <v>36</v>
      </c>
      <c r="B69" s="214"/>
      <c r="C69" s="214" t="s">
        <v>232</v>
      </c>
      <c r="D69" s="214"/>
      <c r="E69" s="236">
        <v>-9644</v>
      </c>
      <c r="F69" s="236">
        <f>'Recreate DR 131 Att. D Pg 13'!B32</f>
        <v>-9546</v>
      </c>
      <c r="G69" s="236">
        <f t="shared" ref="G69:G75" si="1">F69-E69</f>
        <v>98</v>
      </c>
      <c r="H69" s="236">
        <f>9644-9546</f>
        <v>98</v>
      </c>
      <c r="I69" s="231">
        <f t="shared" si="0"/>
        <v>0</v>
      </c>
      <c r="M69" s="223"/>
    </row>
    <row r="70" spans="1:13">
      <c r="A70" s="194">
        <v>37</v>
      </c>
      <c r="B70" s="214"/>
      <c r="C70" s="214" t="s">
        <v>252</v>
      </c>
      <c r="D70" s="214"/>
      <c r="E70" s="231">
        <v>-117441</v>
      </c>
      <c r="F70" s="231">
        <f>'Recreate DR 131 Att. D Pg 13'!B33+'Recreate DR 131 Att. D Pg 13'!E33</f>
        <v>-117692</v>
      </c>
      <c r="G70" s="231">
        <f t="shared" si="1"/>
        <v>-251</v>
      </c>
      <c r="H70" s="231">
        <f>117441-117792+100</f>
        <v>-251</v>
      </c>
      <c r="I70" s="231">
        <f t="shared" si="0"/>
        <v>0</v>
      </c>
      <c r="M70" s="223"/>
    </row>
    <row r="71" spans="1:13">
      <c r="A71" s="194">
        <v>38</v>
      </c>
      <c r="B71" s="214"/>
      <c r="C71" s="214" t="s">
        <v>12</v>
      </c>
      <c r="D71" s="214"/>
      <c r="E71" s="232">
        <v>-18682</v>
      </c>
      <c r="F71" s="232">
        <f>'Recreate DR 131 Att. D Pg 13'!B34+'Recreate DR 131 Att. D Pg 13'!B31</f>
        <v>-17402</v>
      </c>
      <c r="G71" s="232">
        <f t="shared" si="1"/>
        <v>1280</v>
      </c>
      <c r="H71" s="232">
        <f>18682-4531-12871</f>
        <v>1280</v>
      </c>
      <c r="I71" s="232">
        <f t="shared" si="0"/>
        <v>0</v>
      </c>
      <c r="M71" s="223"/>
    </row>
    <row r="72" spans="1:13">
      <c r="A72" s="194">
        <v>39</v>
      </c>
      <c r="B72" s="214" t="s">
        <v>254</v>
      </c>
      <c r="C72" s="214"/>
      <c r="E72" s="237">
        <v>-145767</v>
      </c>
      <c r="F72" s="237">
        <f>SUM(F69:F71)</f>
        <v>-144640</v>
      </c>
      <c r="G72" s="232">
        <f t="shared" si="1"/>
        <v>1127</v>
      </c>
      <c r="H72" s="237">
        <f>SUM(H69:H71)</f>
        <v>1127</v>
      </c>
      <c r="I72" s="237">
        <f t="shared" si="0"/>
        <v>0</v>
      </c>
      <c r="M72" s="223"/>
    </row>
    <row r="73" spans="1:13">
      <c r="A73" s="194">
        <v>40</v>
      </c>
      <c r="B73" s="214" t="s">
        <v>255</v>
      </c>
      <c r="C73" s="214"/>
      <c r="D73" s="214"/>
      <c r="E73" s="238">
        <v>286733</v>
      </c>
      <c r="F73" s="238">
        <f>F72+F66</f>
        <v>286391</v>
      </c>
      <c r="G73" s="238">
        <f t="shared" si="1"/>
        <v>-342</v>
      </c>
      <c r="H73" s="238">
        <f>H66+H72</f>
        <v>-342</v>
      </c>
      <c r="I73" s="238">
        <f t="shared" si="0"/>
        <v>0</v>
      </c>
      <c r="M73" s="223"/>
    </row>
    <row r="74" spans="1:13">
      <c r="A74" s="216">
        <v>41</v>
      </c>
      <c r="B74" s="217" t="s">
        <v>256</v>
      </c>
      <c r="C74" s="217"/>
      <c r="D74" s="217"/>
      <c r="E74" s="232">
        <v>-65703</v>
      </c>
      <c r="F74" s="232">
        <f>'Recreate DR 131 Att. D Pg 13'!B42+'Recreate DR 131 Att. D Pg 13'!E42</f>
        <v>-64933</v>
      </c>
      <c r="G74" s="232">
        <f t="shared" si="1"/>
        <v>770</v>
      </c>
      <c r="H74" s="232">
        <f>65703-64967+34</f>
        <v>770</v>
      </c>
      <c r="I74" s="232">
        <f t="shared" si="0"/>
        <v>0</v>
      </c>
      <c r="M74" s="223"/>
    </row>
    <row r="75" spans="1:13">
      <c r="A75" s="216">
        <v>42</v>
      </c>
      <c r="B75" s="217" t="s">
        <v>200</v>
      </c>
      <c r="C75" s="217"/>
      <c r="D75" s="217"/>
      <c r="E75" s="233">
        <v>221030</v>
      </c>
      <c r="F75" s="233">
        <f>SUM(F73:F74)</f>
        <v>221458</v>
      </c>
      <c r="G75" s="233">
        <f t="shared" si="1"/>
        <v>428</v>
      </c>
      <c r="H75" s="233">
        <f>H73+H74</f>
        <v>428</v>
      </c>
      <c r="I75" s="233">
        <f t="shared" si="0"/>
        <v>0</v>
      </c>
      <c r="M75" s="223"/>
    </row>
    <row r="76" spans="1:13">
      <c r="A76" s="194">
        <v>43</v>
      </c>
      <c r="B76" s="214" t="s">
        <v>257</v>
      </c>
      <c r="C76" s="214"/>
      <c r="D76" s="214"/>
      <c r="E76" s="231">
        <v>12801</v>
      </c>
      <c r="F76" s="231"/>
      <c r="G76" s="231"/>
      <c r="H76" s="231">
        <v>0</v>
      </c>
      <c r="I76" s="231">
        <f t="shared" si="0"/>
        <v>0</v>
      </c>
      <c r="M76" s="223"/>
    </row>
    <row r="77" spans="1:13">
      <c r="A77" s="216">
        <v>44</v>
      </c>
      <c r="B77" s="217" t="s">
        <v>258</v>
      </c>
      <c r="C77" s="217"/>
      <c r="D77" s="217"/>
      <c r="E77" s="231">
        <v>0</v>
      </c>
      <c r="F77" s="231"/>
      <c r="G77" s="230"/>
      <c r="H77" s="231"/>
      <c r="I77" s="231">
        <f t="shared" si="0"/>
        <v>0</v>
      </c>
      <c r="M77" s="223"/>
    </row>
    <row r="78" spans="1:13">
      <c r="A78" s="216">
        <v>45</v>
      </c>
      <c r="B78" s="217" t="s">
        <v>259</v>
      </c>
      <c r="C78" s="217"/>
      <c r="D78" s="217"/>
      <c r="E78" s="231">
        <v>-428</v>
      </c>
      <c r="F78" s="231"/>
      <c r="G78" s="230"/>
      <c r="H78" s="231"/>
      <c r="I78" s="231">
        <f t="shared" si="0"/>
        <v>0</v>
      </c>
      <c r="M78" s="223"/>
    </row>
    <row r="79" spans="1:13">
      <c r="A79" s="194">
        <v>46</v>
      </c>
      <c r="B79" s="214" t="s">
        <v>202</v>
      </c>
      <c r="C79" s="214"/>
      <c r="D79" s="214"/>
      <c r="E79" s="232">
        <v>10371</v>
      </c>
      <c r="F79" s="232"/>
      <c r="G79" s="232"/>
      <c r="H79" s="232"/>
      <c r="I79" s="232">
        <f t="shared" si="0"/>
        <v>0</v>
      </c>
      <c r="L79" t="s">
        <v>212</v>
      </c>
      <c r="M79" s="223"/>
    </row>
    <row r="80" spans="1:13">
      <c r="E80" s="229"/>
      <c r="F80" s="229"/>
      <c r="G80" s="229">
        <f t="shared" ref="G80" si="2">SUM(G76:G78)</f>
        <v>0</v>
      </c>
      <c r="H80" s="229"/>
      <c r="I80" s="229">
        <f t="shared" ref="I80" si="3">G80-H80</f>
        <v>0</v>
      </c>
      <c r="M80" s="223"/>
    </row>
    <row r="81" spans="1:13">
      <c r="E81" s="233"/>
      <c r="F81" s="233"/>
      <c r="G81" s="233"/>
      <c r="H81" s="233"/>
      <c r="M81" s="223"/>
    </row>
    <row r="82" spans="1:13" ht="13.5" thickBot="1">
      <c r="A82" s="198">
        <v>47</v>
      </c>
      <c r="B82" s="218" t="s">
        <v>260</v>
      </c>
      <c r="C82" s="218"/>
      <c r="D82" s="218"/>
      <c r="E82" s="239">
        <v>243774</v>
      </c>
      <c r="F82" s="239"/>
      <c r="G82" s="239">
        <f>G75+G76+G77+G79+G78</f>
        <v>428</v>
      </c>
      <c r="H82" s="239">
        <f>H75+H76+H77+H79+H78</f>
        <v>428</v>
      </c>
    </row>
    <row r="83" spans="1:13" ht="13.5" thickTop="1">
      <c r="A83" s="194">
        <v>48</v>
      </c>
      <c r="B83" s="195" t="s">
        <v>261</v>
      </c>
    </row>
    <row r="84" spans="1:13">
      <c r="A84" s="194">
        <v>50</v>
      </c>
      <c r="B84" s="195" t="s">
        <v>262</v>
      </c>
    </row>
    <row r="86" spans="1:13">
      <c r="A86" s="219"/>
      <c r="B86" s="220"/>
      <c r="C86" s="220"/>
      <c r="D86" s="193" t="s">
        <v>263</v>
      </c>
    </row>
    <row r="87" spans="1:13">
      <c r="A87" s="221"/>
      <c r="B87" s="220"/>
      <c r="C87" s="220"/>
      <c r="D87" s="193" t="s">
        <v>204</v>
      </c>
    </row>
    <row r="88" spans="1:13">
      <c r="A88" s="221"/>
      <c r="B88" s="220"/>
      <c r="C88" s="220"/>
      <c r="D88" s="193"/>
    </row>
    <row r="89" spans="1:13">
      <c r="A89" s="221"/>
      <c r="B89" s="220"/>
      <c r="C89" s="220"/>
      <c r="D89" s="193" t="s">
        <v>205</v>
      </c>
    </row>
    <row r="90" spans="1:13">
      <c r="A90" s="221"/>
      <c r="B90" s="220"/>
      <c r="C90" s="220"/>
      <c r="D90" s="193" t="s">
        <v>206</v>
      </c>
    </row>
    <row r="91" spans="1:13">
      <c r="A91" s="221"/>
      <c r="B91" s="220"/>
      <c r="C91" s="220"/>
      <c r="D91" s="193"/>
    </row>
    <row r="92" spans="1:13">
      <c r="A92" s="219"/>
      <c r="B92" s="220"/>
      <c r="C92" s="220"/>
      <c r="D92" s="193"/>
    </row>
    <row r="93" spans="1:13">
      <c r="A93" s="221"/>
      <c r="B93" s="220"/>
      <c r="C93" s="220"/>
      <c r="D93" s="220"/>
    </row>
    <row r="94" spans="1:13">
      <c r="A94" s="221"/>
      <c r="B94" s="220"/>
      <c r="C94" s="220"/>
      <c r="D94" s="193"/>
    </row>
    <row r="95" spans="1:13">
      <c r="A95" s="221"/>
      <c r="B95" s="220"/>
      <c r="C95" s="220"/>
      <c r="D95" s="193"/>
    </row>
    <row r="96" spans="1:13">
      <c r="A96" s="221"/>
      <c r="B96" s="220"/>
      <c r="C96" s="220"/>
      <c r="D96" s="222"/>
    </row>
    <row r="97" spans="1:4">
      <c r="A97" s="221"/>
      <c r="B97" s="220"/>
      <c r="C97" s="220"/>
      <c r="D97" s="220"/>
    </row>
    <row r="98" spans="1:4">
      <c r="A98" s="221"/>
      <c r="B98" s="220"/>
      <c r="C98" s="220"/>
      <c r="D98" s="220"/>
    </row>
  </sheetData>
  <mergeCells count="6">
    <mergeCell ref="F2:I4"/>
    <mergeCell ref="E5:E6"/>
    <mergeCell ref="F5:F6"/>
    <mergeCell ref="G5:G6"/>
    <mergeCell ref="H5:H6"/>
    <mergeCell ref="I5:I6"/>
  </mergeCells>
  <conditionalFormatting sqref="I15:I80">
    <cfRule type="cellIs" dxfId="0" priority="2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2015-10-20T22:48:35+00:00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F0BA492-DDA1-4006-B7D0-A6B9F121A211}"/>
</file>

<file path=customXml/itemProps2.xml><?xml version="1.0" encoding="utf-8"?>
<ds:datastoreItem xmlns:ds="http://schemas.openxmlformats.org/officeDocument/2006/customXml" ds:itemID="{25C8E295-B8B7-4BD1-AFB1-26551EE66486}"/>
</file>

<file path=customXml/itemProps3.xml><?xml version="1.0" encoding="utf-8"?>
<ds:datastoreItem xmlns:ds="http://schemas.openxmlformats.org/officeDocument/2006/customXml" ds:itemID="{60DD2506-1A48-4117-A483-6538E7E0AFCB}"/>
</file>

<file path=customXml/itemProps4.xml><?xml version="1.0" encoding="utf-8"?>
<ds:datastoreItem xmlns:ds="http://schemas.openxmlformats.org/officeDocument/2006/customXml" ds:itemID="{819668DC-F3BC-4314-83F3-DED056A75F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E-CAP SUMMARY</vt:lpstr>
      <vt:lpstr>G-CAP SUMMARY</vt:lpstr>
      <vt:lpstr>Recreate DR 131 Att. D Pg 13</vt:lpstr>
      <vt:lpstr>E-CAP14, G-CAP14</vt:lpstr>
      <vt:lpstr>E-CAP15, G-CAP-15</vt:lpstr>
      <vt:lpstr>E-CAP16, G-CAP16</vt:lpstr>
      <vt:lpstr>CAP16 AMI</vt:lpstr>
      <vt:lpstr>Recreate 3.12U </vt:lpstr>
      <vt:lpstr>Recreate Gas 3.07U</vt:lpstr>
      <vt:lpstr>Recreate DR 131 Att. D Pg 7</vt:lpstr>
      <vt:lpstr>'CAP16 AMI'!Print_Area</vt:lpstr>
      <vt:lpstr>'E-CAP SUMMARY'!Print_Area</vt:lpstr>
      <vt:lpstr>'E-CAP14, G-CAP14'!Print_Area</vt:lpstr>
      <vt:lpstr>'E-CAP15, G-CAP-15'!Print_Area</vt:lpstr>
      <vt:lpstr>'E-CAP16, G-CAP16'!Print_Area</vt:lpstr>
      <vt:lpstr>'E-CAP SUMMARY'!Print_Titles</vt:lpstr>
      <vt:lpstr>'G-CAP SUMMARY'!Print_Titles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Hancock, Christopher (UTC)</cp:lastModifiedBy>
  <cp:lastPrinted>2014-12-29T21:27:31Z</cp:lastPrinted>
  <dcterms:created xsi:type="dcterms:W3CDTF">2009-02-25T21:21:21Z</dcterms:created>
  <dcterms:modified xsi:type="dcterms:W3CDTF">2015-07-18T23:21:21Z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